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autoCompressPictures="0" defaultThemeVersion="166925"/>
  <mc:AlternateContent xmlns:mc="http://schemas.openxmlformats.org/markup-compatibility/2006">
    <mc:Choice Requires="x15">
      <x15ac:absPath xmlns:x15ac="http://schemas.microsoft.com/office/spreadsheetml/2010/11/ac" url="C:\Users\ellie\Documents\Ellie Moss Consulting\Overbrook Foundation\Quantification\"/>
    </mc:Choice>
  </mc:AlternateContent>
  <xr:revisionPtr revIDLastSave="0" documentId="13_ncr:1_{B4434B9F-0661-4E36-9B3C-4BB829A350AE}" xr6:coauthVersionLast="45" xr6:coauthVersionMax="45" xr10:uidLastSave="{00000000-0000-0000-0000-000000000000}"/>
  <bookViews>
    <workbookView xWindow="-93" yWindow="-93" windowWidth="25786" windowHeight="13986" tabRatio="865" xr2:uid="{00000000-000D-0000-FFFF-FFFF00000000}"/>
  </bookViews>
  <sheets>
    <sheet name="Cover Page" sheetId="4" r:id="rId1"/>
    <sheet name="Results &gt;&gt;&gt;" sheetId="20" r:id="rId2"/>
    <sheet name="National Results" sheetId="6" r:id="rId3"/>
    <sheet name="NYC Results" sheetId="9" r:id="rId4"/>
    <sheet name="Methods &amp; Assumptions" sheetId="23" r:id="rId5"/>
    <sheet name="Product Level Considerations" sheetId="21" r:id="rId6"/>
    <sheet name="User Inputs &gt;&gt;&gt;" sheetId="18" r:id="rId7"/>
    <sheet name="On or Off Premise" sheetId="13" r:id="rId8"/>
    <sheet name="Material %" sheetId="3" r:id="rId9"/>
    <sheet name="Recycling" sheetId="16" r:id="rId10"/>
    <sheet name="Composting" sheetId="17" r:id="rId11"/>
    <sheet name="Data &gt;&gt;&gt;" sheetId="19" r:id="rId12"/>
    <sheet name="Product Masses" sheetId="5" r:id="rId13"/>
    <sheet name="Units Sold" sheetId="1" r:id="rId14"/>
    <sheet name="Conversions" sheetId="10" r:id="rId15"/>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S16" i="5" l="1"/>
  <c r="L52" i="5"/>
  <c r="L53" i="5"/>
  <c r="S18" i="5"/>
  <c r="S17" i="5"/>
  <c r="J19" i="13"/>
  <c r="G25" i="9"/>
  <c r="G25" i="3"/>
  <c r="G74" i="1"/>
  <c r="C9" i="10"/>
  <c r="K25" i="9"/>
  <c r="H25" i="3"/>
  <c r="H74" i="1"/>
  <c r="L25" i="9"/>
  <c r="I25" i="3"/>
  <c r="I74" i="1"/>
  <c r="M25" i="9"/>
  <c r="J25" i="3"/>
  <c r="J74" i="1"/>
  <c r="N25" i="9"/>
  <c r="O25" i="9"/>
  <c r="L25" i="3"/>
  <c r="L74" i="1"/>
  <c r="P25" i="9"/>
  <c r="M25" i="3"/>
  <c r="M74" i="1"/>
  <c r="Q25" i="9"/>
  <c r="N25" i="3"/>
  <c r="N74" i="1"/>
  <c r="R25" i="9"/>
  <c r="O25" i="3"/>
  <c r="O74" i="1"/>
  <c r="S25" i="9"/>
  <c r="P25" i="3"/>
  <c r="P74" i="1"/>
  <c r="T25" i="9"/>
  <c r="U25" i="9"/>
  <c r="R25" i="3"/>
  <c r="R74" i="1"/>
  <c r="V25" i="9"/>
  <c r="S25" i="3"/>
  <c r="S74" i="1"/>
  <c r="W25" i="9"/>
  <c r="T25" i="3"/>
  <c r="T74" i="1"/>
  <c r="X25" i="9"/>
  <c r="H25" i="9"/>
  <c r="J18" i="13"/>
  <c r="G24" i="9"/>
  <c r="G24" i="3"/>
  <c r="G73" i="1"/>
  <c r="K24" i="9"/>
  <c r="H24" i="3"/>
  <c r="H73" i="1"/>
  <c r="L24" i="9"/>
  <c r="I24" i="3"/>
  <c r="I73" i="1"/>
  <c r="M24" i="9"/>
  <c r="J24" i="3"/>
  <c r="J73" i="1"/>
  <c r="N24" i="9"/>
  <c r="O24" i="9"/>
  <c r="L24" i="3"/>
  <c r="L73" i="1"/>
  <c r="P24" i="9"/>
  <c r="M24" i="3"/>
  <c r="M73" i="1"/>
  <c r="Q24" i="9"/>
  <c r="N24" i="3"/>
  <c r="N73" i="1"/>
  <c r="R24" i="9"/>
  <c r="O24" i="3"/>
  <c r="O73" i="1"/>
  <c r="S24" i="9"/>
  <c r="P24" i="3"/>
  <c r="P73" i="1"/>
  <c r="T24" i="9"/>
  <c r="U24" i="9"/>
  <c r="R24" i="3"/>
  <c r="R73" i="1"/>
  <c r="V24" i="9"/>
  <c r="S24" i="3"/>
  <c r="S73" i="1"/>
  <c r="W24" i="9"/>
  <c r="T24" i="3"/>
  <c r="T73" i="1"/>
  <c r="X24" i="9"/>
  <c r="H24" i="9"/>
  <c r="J17" i="13"/>
  <c r="G23" i="9"/>
  <c r="G23" i="3"/>
  <c r="G72" i="1"/>
  <c r="K23" i="9"/>
  <c r="H23" i="3"/>
  <c r="H72" i="1"/>
  <c r="L23" i="9"/>
  <c r="I23" i="3"/>
  <c r="I72" i="1"/>
  <c r="M23" i="9"/>
  <c r="J23" i="3"/>
  <c r="J72" i="1"/>
  <c r="N23" i="9"/>
  <c r="O23" i="9"/>
  <c r="L23" i="3"/>
  <c r="L72" i="1"/>
  <c r="P23" i="9"/>
  <c r="M23" i="3"/>
  <c r="M72" i="1"/>
  <c r="Q23" i="9"/>
  <c r="N23" i="3"/>
  <c r="N72" i="1"/>
  <c r="R23" i="9"/>
  <c r="O23" i="3"/>
  <c r="O72" i="1"/>
  <c r="S23" i="9"/>
  <c r="P23" i="3"/>
  <c r="P72" i="1"/>
  <c r="T23" i="9"/>
  <c r="U23" i="9"/>
  <c r="R23" i="3"/>
  <c r="R72" i="1"/>
  <c r="V23" i="9"/>
  <c r="S23" i="3"/>
  <c r="S72" i="1"/>
  <c r="W23" i="9"/>
  <c r="T23" i="3"/>
  <c r="T72" i="1"/>
  <c r="X23" i="9"/>
  <c r="H23" i="9"/>
  <c r="L34" i="3"/>
  <c r="M34" i="3"/>
  <c r="J6" i="1"/>
  <c r="J61" i="1"/>
  <c r="I6" i="1"/>
  <c r="I61" i="1"/>
  <c r="J5" i="1"/>
  <c r="J60" i="1"/>
  <c r="I5" i="1"/>
  <c r="I60" i="1"/>
  <c r="N5" i="5"/>
  <c r="O5" i="5"/>
  <c r="K6" i="5"/>
  <c r="L6" i="5"/>
  <c r="M6" i="5"/>
  <c r="N6" i="5"/>
  <c r="O6" i="5"/>
  <c r="P6" i="5"/>
  <c r="Q6" i="5"/>
  <c r="R6" i="5"/>
  <c r="J6" i="5"/>
  <c r="J5" i="5"/>
  <c r="I6" i="5"/>
  <c r="I5" i="5"/>
  <c r="P19" i="16"/>
  <c r="P18" i="16"/>
  <c r="P17" i="16"/>
  <c r="I54" i="16"/>
  <c r="I53" i="16"/>
  <c r="I52" i="16"/>
  <c r="I49" i="16"/>
  <c r="I46" i="16"/>
  <c r="I43" i="16"/>
  <c r="I42" i="16"/>
  <c r="I41" i="16"/>
  <c r="I40" i="16"/>
  <c r="I38" i="16"/>
  <c r="I34" i="16"/>
  <c r="I33" i="16"/>
  <c r="J54" i="16"/>
  <c r="J53" i="16"/>
  <c r="J52" i="16"/>
  <c r="J49" i="16"/>
  <c r="J46" i="16"/>
  <c r="J43" i="16"/>
  <c r="J42" i="16"/>
  <c r="J41" i="16"/>
  <c r="J40" i="16"/>
  <c r="J38" i="16"/>
  <c r="J34" i="16"/>
  <c r="J33" i="16"/>
  <c r="J30" i="16"/>
  <c r="J29" i="16"/>
  <c r="I30" i="16"/>
  <c r="I29" i="16"/>
  <c r="J26" i="16"/>
  <c r="J25" i="16"/>
  <c r="J24" i="16"/>
  <c r="I26" i="16"/>
  <c r="I25" i="16"/>
  <c r="I24" i="16"/>
  <c r="J23" i="16"/>
  <c r="I23" i="16"/>
  <c r="P54" i="16"/>
  <c r="P53" i="16"/>
  <c r="P52" i="16"/>
  <c r="P49" i="16"/>
  <c r="P46" i="16"/>
  <c r="P43" i="16"/>
  <c r="P42" i="16"/>
  <c r="P41" i="16"/>
  <c r="P40" i="16"/>
  <c r="P38" i="16"/>
  <c r="P34" i="16"/>
  <c r="P33" i="16"/>
  <c r="P30" i="16"/>
  <c r="P29" i="16"/>
  <c r="P26" i="16"/>
  <c r="P25" i="16"/>
  <c r="P24" i="16"/>
  <c r="P23" i="16"/>
  <c r="J19" i="16"/>
  <c r="I19" i="16"/>
  <c r="J18" i="16"/>
  <c r="I18" i="16"/>
  <c r="J17" i="16"/>
  <c r="I17" i="16"/>
  <c r="J16" i="16"/>
  <c r="I16" i="16"/>
  <c r="P16" i="16"/>
  <c r="K186" i="3"/>
  <c r="K185" i="3"/>
  <c r="K184" i="3"/>
  <c r="K181" i="3"/>
  <c r="K178" i="3"/>
  <c r="K175" i="3"/>
  <c r="K174" i="3"/>
  <c r="K173" i="3"/>
  <c r="K172" i="3"/>
  <c r="K170" i="3"/>
  <c r="K166" i="3"/>
  <c r="K165" i="3"/>
  <c r="K162" i="3"/>
  <c r="K161" i="3"/>
  <c r="K158" i="3"/>
  <c r="K157" i="3"/>
  <c r="K156" i="3"/>
  <c r="K155" i="3"/>
  <c r="K151" i="3"/>
  <c r="K150" i="3"/>
  <c r="K149" i="3"/>
  <c r="K148" i="3"/>
  <c r="K142" i="3"/>
  <c r="K141" i="3"/>
  <c r="K140" i="3"/>
  <c r="K137" i="3"/>
  <c r="K134" i="3"/>
  <c r="K131" i="3"/>
  <c r="K130" i="3"/>
  <c r="K129" i="3"/>
  <c r="K128" i="3"/>
  <c r="K126" i="3"/>
  <c r="K122" i="3"/>
  <c r="K121" i="3"/>
  <c r="K118" i="3"/>
  <c r="K117" i="3"/>
  <c r="K114" i="3"/>
  <c r="K113" i="3"/>
  <c r="K112" i="3"/>
  <c r="K111" i="3"/>
  <c r="K107" i="3"/>
  <c r="K106" i="3"/>
  <c r="K105" i="3"/>
  <c r="K104" i="3"/>
  <c r="K98" i="3"/>
  <c r="K97" i="3"/>
  <c r="K96" i="3"/>
  <c r="K93" i="3"/>
  <c r="K90" i="3"/>
  <c r="K87" i="3"/>
  <c r="K86" i="3"/>
  <c r="K85" i="3"/>
  <c r="K84" i="3"/>
  <c r="K82" i="3"/>
  <c r="K78" i="3"/>
  <c r="K77" i="3"/>
  <c r="K74" i="3"/>
  <c r="K73" i="3"/>
  <c r="K70" i="3"/>
  <c r="K69" i="3"/>
  <c r="K68" i="3"/>
  <c r="K67" i="3"/>
  <c r="K63" i="3"/>
  <c r="K62" i="3"/>
  <c r="K61" i="3"/>
  <c r="K60" i="3"/>
  <c r="G54" i="3"/>
  <c r="H54" i="3"/>
  <c r="I54" i="3"/>
  <c r="J54" i="3"/>
  <c r="K54" i="3"/>
  <c r="G53" i="3"/>
  <c r="H53" i="3"/>
  <c r="I53" i="3"/>
  <c r="J53" i="3"/>
  <c r="K53" i="3"/>
  <c r="G52" i="3"/>
  <c r="H52" i="3"/>
  <c r="I52" i="3"/>
  <c r="J52" i="3"/>
  <c r="K52" i="3"/>
  <c r="G49" i="3"/>
  <c r="H49" i="3"/>
  <c r="I49" i="3"/>
  <c r="J49" i="3"/>
  <c r="K49" i="3"/>
  <c r="G46" i="3"/>
  <c r="H46" i="3"/>
  <c r="I46" i="3"/>
  <c r="J46" i="3"/>
  <c r="K46" i="3"/>
  <c r="G43" i="3"/>
  <c r="H43" i="3"/>
  <c r="I43" i="3"/>
  <c r="J43" i="3"/>
  <c r="K43" i="3"/>
  <c r="G42" i="3"/>
  <c r="H42" i="3"/>
  <c r="I42" i="3"/>
  <c r="J42" i="3"/>
  <c r="K42" i="3"/>
  <c r="G41" i="3"/>
  <c r="H41" i="3"/>
  <c r="I41" i="3"/>
  <c r="J41" i="3"/>
  <c r="K41" i="3"/>
  <c r="G40" i="3"/>
  <c r="H40" i="3"/>
  <c r="I40" i="3"/>
  <c r="J40" i="3"/>
  <c r="K40" i="3"/>
  <c r="G38" i="3"/>
  <c r="H38" i="3"/>
  <c r="I38" i="3"/>
  <c r="J38" i="3"/>
  <c r="K38" i="3"/>
  <c r="G34" i="3"/>
  <c r="H34" i="3"/>
  <c r="I34" i="3"/>
  <c r="J34" i="3"/>
  <c r="K34" i="3"/>
  <c r="G33" i="3"/>
  <c r="H33" i="3"/>
  <c r="I33" i="3"/>
  <c r="J33" i="3"/>
  <c r="K33" i="3"/>
  <c r="G30" i="3"/>
  <c r="H30" i="3"/>
  <c r="I30" i="3"/>
  <c r="J30" i="3"/>
  <c r="K30" i="3"/>
  <c r="G29" i="3"/>
  <c r="H29" i="3"/>
  <c r="I29" i="3"/>
  <c r="J29" i="3"/>
  <c r="K29" i="3"/>
  <c r="G26" i="3"/>
  <c r="H26" i="3"/>
  <c r="I26" i="3"/>
  <c r="J26" i="3"/>
  <c r="K26" i="3"/>
  <c r="K25" i="3"/>
  <c r="K24" i="3"/>
  <c r="K23" i="3"/>
  <c r="G19" i="3"/>
  <c r="H19" i="3"/>
  <c r="I19" i="3"/>
  <c r="J19" i="3"/>
  <c r="K19" i="3"/>
  <c r="G18" i="3"/>
  <c r="H18" i="3"/>
  <c r="I18" i="3"/>
  <c r="J18" i="3"/>
  <c r="K18" i="3"/>
  <c r="G17" i="3"/>
  <c r="H17" i="3"/>
  <c r="I17" i="3"/>
  <c r="J17" i="3"/>
  <c r="K17" i="3"/>
  <c r="G16" i="3"/>
  <c r="H16" i="3"/>
  <c r="I16" i="3"/>
  <c r="J16" i="3"/>
  <c r="K16" i="3"/>
  <c r="L52" i="13"/>
  <c r="J52" i="13"/>
  <c r="G58" i="9"/>
  <c r="G107" i="1"/>
  <c r="K58" i="9"/>
  <c r="G54" i="17"/>
  <c r="K168" i="9"/>
  <c r="H107" i="1"/>
  <c r="L58" i="9"/>
  <c r="H54" i="17"/>
  <c r="L168" i="9"/>
  <c r="I107" i="1"/>
  <c r="M58" i="9"/>
  <c r="I54" i="17"/>
  <c r="M168" i="9"/>
  <c r="J107" i="1"/>
  <c r="N58" i="9"/>
  <c r="J54" i="17"/>
  <c r="N168" i="9"/>
  <c r="O168" i="9"/>
  <c r="L51" i="13"/>
  <c r="J51" i="13"/>
  <c r="G57" i="9"/>
  <c r="G106" i="1"/>
  <c r="K57" i="9"/>
  <c r="G53" i="17"/>
  <c r="K167" i="9"/>
  <c r="H106" i="1"/>
  <c r="L57" i="9"/>
  <c r="H53" i="17"/>
  <c r="L167" i="9"/>
  <c r="I106" i="1"/>
  <c r="M57" i="9"/>
  <c r="I53" i="17"/>
  <c r="M167" i="9"/>
  <c r="J106" i="1"/>
  <c r="N57" i="9"/>
  <c r="J53" i="17"/>
  <c r="N167" i="9"/>
  <c r="O167" i="9"/>
  <c r="L50" i="13"/>
  <c r="J50" i="13"/>
  <c r="G56" i="9"/>
  <c r="G105" i="1"/>
  <c r="K56" i="9"/>
  <c r="G52" i="17"/>
  <c r="K166" i="9"/>
  <c r="H105" i="1"/>
  <c r="L56" i="9"/>
  <c r="H52" i="17"/>
  <c r="L166" i="9"/>
  <c r="I105" i="1"/>
  <c r="M56" i="9"/>
  <c r="I52" i="17"/>
  <c r="M166" i="9"/>
  <c r="J105" i="1"/>
  <c r="N56" i="9"/>
  <c r="J52" i="17"/>
  <c r="N166" i="9"/>
  <c r="O166" i="9"/>
  <c r="L47" i="13"/>
  <c r="J47" i="13"/>
  <c r="G53" i="9"/>
  <c r="G102" i="1"/>
  <c r="K53" i="9"/>
  <c r="G49" i="17"/>
  <c r="K163" i="9"/>
  <c r="H102" i="1"/>
  <c r="L53" i="9"/>
  <c r="H49" i="17"/>
  <c r="L163" i="9"/>
  <c r="I102" i="1"/>
  <c r="M53" i="9"/>
  <c r="I49" i="17"/>
  <c r="M163" i="9"/>
  <c r="J102" i="1"/>
  <c r="N53" i="9"/>
  <c r="J49" i="17"/>
  <c r="N163" i="9"/>
  <c r="O163" i="9"/>
  <c r="L44" i="13"/>
  <c r="J44" i="13"/>
  <c r="G50" i="9"/>
  <c r="G99" i="1"/>
  <c r="K50" i="9"/>
  <c r="G46" i="17"/>
  <c r="K160" i="9"/>
  <c r="H99" i="1"/>
  <c r="L50" i="9"/>
  <c r="H46" i="17"/>
  <c r="L160" i="9"/>
  <c r="I99" i="1"/>
  <c r="M50" i="9"/>
  <c r="I46" i="17"/>
  <c r="M160" i="9"/>
  <c r="J99" i="1"/>
  <c r="N50" i="9"/>
  <c r="J46" i="17"/>
  <c r="N160" i="9"/>
  <c r="O160" i="9"/>
  <c r="L40" i="13"/>
  <c r="J40" i="13"/>
  <c r="G46" i="9"/>
  <c r="G95" i="1"/>
  <c r="K46" i="9"/>
  <c r="G43" i="17"/>
  <c r="K156" i="9"/>
  <c r="H95" i="1"/>
  <c r="L46" i="9"/>
  <c r="H43" i="17"/>
  <c r="L156" i="9"/>
  <c r="I95" i="1"/>
  <c r="M46" i="9"/>
  <c r="I43" i="17"/>
  <c r="M156" i="9"/>
  <c r="J95" i="1"/>
  <c r="N46" i="9"/>
  <c r="J43" i="17"/>
  <c r="N156" i="9"/>
  <c r="O156" i="9"/>
  <c r="L39" i="13"/>
  <c r="J39" i="13"/>
  <c r="G45" i="9"/>
  <c r="G94" i="1"/>
  <c r="K45" i="9"/>
  <c r="G42" i="17"/>
  <c r="K155" i="9"/>
  <c r="H94" i="1"/>
  <c r="L45" i="9"/>
  <c r="H42" i="17"/>
  <c r="L155" i="9"/>
  <c r="I94" i="1"/>
  <c r="M45" i="9"/>
  <c r="I42" i="17"/>
  <c r="M155" i="9"/>
  <c r="J94" i="1"/>
  <c r="N45" i="9"/>
  <c r="J42" i="17"/>
  <c r="N155" i="9"/>
  <c r="O155" i="9"/>
  <c r="L38" i="13"/>
  <c r="J38" i="13"/>
  <c r="G44" i="9"/>
  <c r="G93" i="1"/>
  <c r="K44" i="9"/>
  <c r="G41" i="17"/>
  <c r="K154" i="9"/>
  <c r="H93" i="1"/>
  <c r="L44" i="9"/>
  <c r="H41" i="17"/>
  <c r="L154" i="9"/>
  <c r="I93" i="1"/>
  <c r="M44" i="9"/>
  <c r="I41" i="17"/>
  <c r="M154" i="9"/>
  <c r="J93" i="1"/>
  <c r="N44" i="9"/>
  <c r="J41" i="17"/>
  <c r="N154" i="9"/>
  <c r="O154" i="9"/>
  <c r="L37" i="13"/>
  <c r="J37" i="13"/>
  <c r="G43" i="9"/>
  <c r="G92" i="1"/>
  <c r="K43" i="9"/>
  <c r="G40" i="17"/>
  <c r="K153" i="9"/>
  <c r="H92" i="1"/>
  <c r="L43" i="9"/>
  <c r="H40" i="17"/>
  <c r="L153" i="9"/>
  <c r="I92" i="1"/>
  <c r="M43" i="9"/>
  <c r="I40" i="17"/>
  <c r="M153" i="9"/>
  <c r="J92" i="1"/>
  <c r="N43" i="9"/>
  <c r="J40" i="17"/>
  <c r="N153" i="9"/>
  <c r="O153" i="9"/>
  <c r="L35" i="13"/>
  <c r="J35" i="13"/>
  <c r="G41" i="9"/>
  <c r="G90" i="1"/>
  <c r="K41" i="9"/>
  <c r="G38" i="17"/>
  <c r="K151" i="9"/>
  <c r="H90" i="1"/>
  <c r="L41" i="9"/>
  <c r="H38" i="17"/>
  <c r="L151" i="9"/>
  <c r="I90" i="1"/>
  <c r="M41" i="9"/>
  <c r="I38" i="17"/>
  <c r="M151" i="9"/>
  <c r="J90" i="1"/>
  <c r="N41" i="9"/>
  <c r="J38" i="17"/>
  <c r="N151" i="9"/>
  <c r="O151" i="9"/>
  <c r="L30" i="13"/>
  <c r="J30" i="13"/>
  <c r="G36" i="9"/>
  <c r="G85" i="1"/>
  <c r="K36" i="9"/>
  <c r="G34" i="17"/>
  <c r="K146" i="9"/>
  <c r="H85" i="1"/>
  <c r="L36" i="9"/>
  <c r="H34" i="17"/>
  <c r="L146" i="9"/>
  <c r="I85" i="1"/>
  <c r="M36" i="9"/>
  <c r="I34" i="17"/>
  <c r="M146" i="9"/>
  <c r="J85" i="1"/>
  <c r="N36" i="9"/>
  <c r="J34" i="17"/>
  <c r="N146" i="9"/>
  <c r="O146" i="9"/>
  <c r="L29" i="13"/>
  <c r="J29" i="13"/>
  <c r="G35" i="9"/>
  <c r="G84" i="1"/>
  <c r="K35" i="9"/>
  <c r="G33" i="17"/>
  <c r="K145" i="9"/>
  <c r="H84" i="1"/>
  <c r="L35" i="9"/>
  <c r="H33" i="17"/>
  <c r="L145" i="9"/>
  <c r="I84" i="1"/>
  <c r="M35" i="9"/>
  <c r="I33" i="17"/>
  <c r="M145" i="9"/>
  <c r="J84" i="1"/>
  <c r="N35" i="9"/>
  <c r="J33" i="17"/>
  <c r="N145" i="9"/>
  <c r="O145" i="9"/>
  <c r="L25" i="13"/>
  <c r="J25" i="13"/>
  <c r="G31" i="9"/>
  <c r="G80" i="1"/>
  <c r="K31" i="9"/>
  <c r="G30" i="17"/>
  <c r="K141" i="9"/>
  <c r="H80" i="1"/>
  <c r="L31" i="9"/>
  <c r="H30" i="17"/>
  <c r="L141" i="9"/>
  <c r="I80" i="1"/>
  <c r="M31" i="9"/>
  <c r="I30" i="17"/>
  <c r="M141" i="9"/>
  <c r="J80" i="1"/>
  <c r="N31" i="9"/>
  <c r="J30" i="17"/>
  <c r="N141" i="9"/>
  <c r="O141" i="9"/>
  <c r="L24" i="13"/>
  <c r="J24" i="13"/>
  <c r="G30" i="9"/>
  <c r="G79" i="1"/>
  <c r="K30" i="9"/>
  <c r="G29" i="17"/>
  <c r="K140" i="9"/>
  <c r="H79" i="1"/>
  <c r="L30" i="9"/>
  <c r="H29" i="17"/>
  <c r="L140" i="9"/>
  <c r="I79" i="1"/>
  <c r="M30" i="9"/>
  <c r="I29" i="17"/>
  <c r="M140" i="9"/>
  <c r="J79" i="1"/>
  <c r="N30" i="9"/>
  <c r="J29" i="17"/>
  <c r="N140" i="9"/>
  <c r="O140" i="9"/>
  <c r="L20" i="13"/>
  <c r="J20" i="13"/>
  <c r="G26" i="9"/>
  <c r="G75" i="1"/>
  <c r="K26" i="9"/>
  <c r="G26" i="17"/>
  <c r="K136" i="9"/>
  <c r="H75" i="1"/>
  <c r="L26" i="9"/>
  <c r="H26" i="17"/>
  <c r="L136" i="9"/>
  <c r="I75" i="1"/>
  <c r="M26" i="9"/>
  <c r="I26" i="17"/>
  <c r="M136" i="9"/>
  <c r="J75" i="1"/>
  <c r="N26" i="9"/>
  <c r="J26" i="17"/>
  <c r="N136" i="9"/>
  <c r="O136" i="9"/>
  <c r="L19" i="13"/>
  <c r="G25" i="17"/>
  <c r="K135" i="9"/>
  <c r="H25" i="17"/>
  <c r="L135" i="9"/>
  <c r="I25" i="17"/>
  <c r="M135" i="9"/>
  <c r="J25" i="17"/>
  <c r="N135" i="9"/>
  <c r="O135" i="9"/>
  <c r="L18" i="13"/>
  <c r="G24" i="17"/>
  <c r="K134" i="9"/>
  <c r="H24" i="17"/>
  <c r="L134" i="9"/>
  <c r="I24" i="17"/>
  <c r="M134" i="9"/>
  <c r="J24" i="17"/>
  <c r="N134" i="9"/>
  <c r="O134" i="9"/>
  <c r="L17" i="13"/>
  <c r="G23" i="17"/>
  <c r="K133" i="9"/>
  <c r="H23" i="17"/>
  <c r="L133" i="9"/>
  <c r="I23" i="17"/>
  <c r="M133" i="9"/>
  <c r="J23" i="17"/>
  <c r="N133" i="9"/>
  <c r="O133" i="9"/>
  <c r="L12" i="13"/>
  <c r="J12" i="13"/>
  <c r="G18" i="9"/>
  <c r="G67" i="1"/>
  <c r="K18" i="9"/>
  <c r="G19" i="17"/>
  <c r="K128" i="9"/>
  <c r="H67" i="1"/>
  <c r="L18" i="9"/>
  <c r="H19" i="17"/>
  <c r="L128" i="9"/>
  <c r="I67" i="1"/>
  <c r="M18" i="9"/>
  <c r="I19" i="17"/>
  <c r="M128" i="9"/>
  <c r="J67" i="1"/>
  <c r="N18" i="9"/>
  <c r="J19" i="17"/>
  <c r="N128" i="9"/>
  <c r="O128" i="9"/>
  <c r="L11" i="13"/>
  <c r="J11" i="13"/>
  <c r="G17" i="9"/>
  <c r="G66" i="1"/>
  <c r="K17" i="9"/>
  <c r="G18" i="17"/>
  <c r="K127" i="9"/>
  <c r="H66" i="1"/>
  <c r="L17" i="9"/>
  <c r="H18" i="17"/>
  <c r="L127" i="9"/>
  <c r="I66" i="1"/>
  <c r="M17" i="9"/>
  <c r="I18" i="17"/>
  <c r="M127" i="9"/>
  <c r="J66" i="1"/>
  <c r="N17" i="9"/>
  <c r="J18" i="17"/>
  <c r="N127" i="9"/>
  <c r="O127" i="9"/>
  <c r="L10" i="13"/>
  <c r="J10" i="13"/>
  <c r="G16" i="9"/>
  <c r="G65" i="1"/>
  <c r="K16" i="9"/>
  <c r="G17" i="17"/>
  <c r="K126" i="9"/>
  <c r="H65" i="1"/>
  <c r="L16" i="9"/>
  <c r="H17" i="17"/>
  <c r="L126" i="9"/>
  <c r="I65" i="1"/>
  <c r="M16" i="9"/>
  <c r="I17" i="17"/>
  <c r="M126" i="9"/>
  <c r="J65" i="1"/>
  <c r="N16" i="9"/>
  <c r="J17" i="17"/>
  <c r="N126" i="9"/>
  <c r="O126" i="9"/>
  <c r="L9" i="13"/>
  <c r="J9" i="13"/>
  <c r="G15" i="9"/>
  <c r="G64" i="1"/>
  <c r="K15" i="9"/>
  <c r="G16" i="17"/>
  <c r="K125" i="9"/>
  <c r="H64" i="1"/>
  <c r="L15" i="9"/>
  <c r="H16" i="17"/>
  <c r="L125" i="9"/>
  <c r="I64" i="1"/>
  <c r="M15" i="9"/>
  <c r="I16" i="17"/>
  <c r="M125" i="9"/>
  <c r="J64" i="1"/>
  <c r="N15" i="9"/>
  <c r="J16" i="17"/>
  <c r="N125" i="9"/>
  <c r="O125" i="9"/>
  <c r="G19" i="16"/>
  <c r="K73" i="9"/>
  <c r="H19" i="16"/>
  <c r="L73" i="9"/>
  <c r="M73" i="9"/>
  <c r="N73" i="9"/>
  <c r="O73" i="9"/>
  <c r="G54" i="16"/>
  <c r="K113" i="9"/>
  <c r="H54" i="16"/>
  <c r="L113" i="9"/>
  <c r="M113" i="9"/>
  <c r="N113" i="9"/>
  <c r="O113" i="9"/>
  <c r="G53" i="16"/>
  <c r="K112" i="9"/>
  <c r="H53" i="16"/>
  <c r="L112" i="9"/>
  <c r="M112" i="9"/>
  <c r="N112" i="9"/>
  <c r="O112" i="9"/>
  <c r="G52" i="16"/>
  <c r="K111" i="9"/>
  <c r="H52" i="16"/>
  <c r="L111" i="9"/>
  <c r="M111" i="9"/>
  <c r="N111" i="9"/>
  <c r="O111" i="9"/>
  <c r="G49" i="16"/>
  <c r="K108" i="9"/>
  <c r="H49" i="16"/>
  <c r="L108" i="9"/>
  <c r="M108" i="9"/>
  <c r="N108" i="9"/>
  <c r="O108" i="9"/>
  <c r="G46" i="16"/>
  <c r="K105" i="9"/>
  <c r="H46" i="16"/>
  <c r="L105" i="9"/>
  <c r="M105" i="9"/>
  <c r="N105" i="9"/>
  <c r="O105" i="9"/>
  <c r="G43" i="16"/>
  <c r="K101" i="9"/>
  <c r="H43" i="16"/>
  <c r="L101" i="9"/>
  <c r="M101" i="9"/>
  <c r="N101" i="9"/>
  <c r="O101" i="9"/>
  <c r="G42" i="16"/>
  <c r="K100" i="9"/>
  <c r="H42" i="16"/>
  <c r="L100" i="9"/>
  <c r="M100" i="9"/>
  <c r="N100" i="9"/>
  <c r="O100" i="9"/>
  <c r="G41" i="16"/>
  <c r="K99" i="9"/>
  <c r="H41" i="16"/>
  <c r="L99" i="9"/>
  <c r="M99" i="9"/>
  <c r="N99" i="9"/>
  <c r="O99" i="9"/>
  <c r="G40" i="16"/>
  <c r="K98" i="9"/>
  <c r="H40" i="16"/>
  <c r="L98" i="9"/>
  <c r="M98" i="9"/>
  <c r="N98" i="9"/>
  <c r="O98" i="9"/>
  <c r="G38" i="16"/>
  <c r="K96" i="9"/>
  <c r="H38" i="16"/>
  <c r="L96" i="9"/>
  <c r="M96" i="9"/>
  <c r="N96" i="9"/>
  <c r="O96" i="9"/>
  <c r="G34" i="16"/>
  <c r="K91" i="9"/>
  <c r="H34" i="16"/>
  <c r="L91" i="9"/>
  <c r="M91" i="9"/>
  <c r="N91" i="9"/>
  <c r="O91" i="9"/>
  <c r="G33" i="16"/>
  <c r="K90" i="9"/>
  <c r="H33" i="16"/>
  <c r="L90" i="9"/>
  <c r="M90" i="9"/>
  <c r="N90" i="9"/>
  <c r="O90" i="9"/>
  <c r="G30" i="16"/>
  <c r="K86" i="9"/>
  <c r="H30" i="16"/>
  <c r="L86" i="9"/>
  <c r="M86" i="9"/>
  <c r="N86" i="9"/>
  <c r="O86" i="9"/>
  <c r="G29" i="16"/>
  <c r="K85" i="9"/>
  <c r="H29" i="16"/>
  <c r="L85" i="9"/>
  <c r="M85" i="9"/>
  <c r="N85" i="9"/>
  <c r="O85" i="9"/>
  <c r="G26" i="16"/>
  <c r="K81" i="9"/>
  <c r="H26" i="16"/>
  <c r="L81" i="9"/>
  <c r="M81" i="9"/>
  <c r="N81" i="9"/>
  <c r="O81" i="9"/>
  <c r="G25" i="16"/>
  <c r="K80" i="9"/>
  <c r="H25" i="16"/>
  <c r="L80" i="9"/>
  <c r="M80" i="9"/>
  <c r="N80" i="9"/>
  <c r="O80" i="9"/>
  <c r="G24" i="16"/>
  <c r="K79" i="9"/>
  <c r="H24" i="16"/>
  <c r="L79" i="9"/>
  <c r="M79" i="9"/>
  <c r="N79" i="9"/>
  <c r="O79" i="9"/>
  <c r="G23" i="16"/>
  <c r="K78" i="9"/>
  <c r="H23" i="16"/>
  <c r="L78" i="9"/>
  <c r="M78" i="9"/>
  <c r="N78" i="9"/>
  <c r="O78" i="9"/>
  <c r="G18" i="16"/>
  <c r="K72" i="9"/>
  <c r="H18" i="16"/>
  <c r="L72" i="9"/>
  <c r="M72" i="9"/>
  <c r="N72" i="9"/>
  <c r="O72" i="9"/>
  <c r="G17" i="16"/>
  <c r="K71" i="9"/>
  <c r="H17" i="16"/>
  <c r="L71" i="9"/>
  <c r="M71" i="9"/>
  <c r="N71" i="9"/>
  <c r="O71" i="9"/>
  <c r="G16" i="16"/>
  <c r="K70" i="9"/>
  <c r="H16" i="16"/>
  <c r="L70" i="9"/>
  <c r="M70" i="9"/>
  <c r="N70" i="9"/>
  <c r="O70" i="9"/>
  <c r="O58" i="9"/>
  <c r="O57" i="9"/>
  <c r="O56" i="9"/>
  <c r="O53" i="9"/>
  <c r="O50" i="9"/>
  <c r="O46" i="9"/>
  <c r="O45" i="9"/>
  <c r="O44" i="9"/>
  <c r="O43" i="9"/>
  <c r="O41" i="9"/>
  <c r="O36" i="9"/>
  <c r="O35" i="9"/>
  <c r="O31" i="9"/>
  <c r="O30" i="9"/>
  <c r="O26" i="9"/>
  <c r="O18" i="9"/>
  <c r="O17" i="9"/>
  <c r="O16" i="9"/>
  <c r="O15" i="9"/>
  <c r="P11" i="9"/>
  <c r="I52" i="13"/>
  <c r="G57" i="6"/>
  <c r="G52" i="1"/>
  <c r="K57" i="6"/>
  <c r="K167" i="6"/>
  <c r="H52" i="1"/>
  <c r="L57" i="6"/>
  <c r="L167" i="6"/>
  <c r="I52" i="1"/>
  <c r="M57" i="6"/>
  <c r="M167" i="6"/>
  <c r="J52" i="1"/>
  <c r="N57" i="6"/>
  <c r="N167" i="6"/>
  <c r="O167" i="6"/>
  <c r="I51" i="13"/>
  <c r="G56" i="6"/>
  <c r="G51" i="1"/>
  <c r="K56" i="6"/>
  <c r="K166" i="6"/>
  <c r="H51" i="1"/>
  <c r="L56" i="6"/>
  <c r="L166" i="6"/>
  <c r="I51" i="1"/>
  <c r="M56" i="6"/>
  <c r="M166" i="6"/>
  <c r="J51" i="1"/>
  <c r="N56" i="6"/>
  <c r="N166" i="6"/>
  <c r="O166" i="6"/>
  <c r="I50" i="13"/>
  <c r="G55" i="6"/>
  <c r="G50" i="1"/>
  <c r="K55" i="6"/>
  <c r="K165" i="6"/>
  <c r="H50" i="1"/>
  <c r="L55" i="6"/>
  <c r="L165" i="6"/>
  <c r="I50" i="1"/>
  <c r="M55" i="6"/>
  <c r="M165" i="6"/>
  <c r="J50" i="1"/>
  <c r="N55" i="6"/>
  <c r="N165" i="6"/>
  <c r="O165" i="6"/>
  <c r="I47" i="13"/>
  <c r="G52" i="6"/>
  <c r="G47" i="1"/>
  <c r="K52" i="6"/>
  <c r="K162" i="6"/>
  <c r="H47" i="1"/>
  <c r="L52" i="6"/>
  <c r="L162" i="6"/>
  <c r="I47" i="1"/>
  <c r="M52" i="6"/>
  <c r="M162" i="6"/>
  <c r="J47" i="1"/>
  <c r="N52" i="6"/>
  <c r="N162" i="6"/>
  <c r="O162" i="6"/>
  <c r="I44" i="13"/>
  <c r="G49" i="6"/>
  <c r="G44" i="1"/>
  <c r="K49" i="6"/>
  <c r="K159" i="6"/>
  <c r="H44" i="1"/>
  <c r="L49" i="6"/>
  <c r="L159" i="6"/>
  <c r="I44" i="1"/>
  <c r="M49" i="6"/>
  <c r="M159" i="6"/>
  <c r="J44" i="1"/>
  <c r="N49" i="6"/>
  <c r="N159" i="6"/>
  <c r="O159" i="6"/>
  <c r="I40" i="13"/>
  <c r="G45" i="6"/>
  <c r="G40" i="1"/>
  <c r="K45" i="6"/>
  <c r="K155" i="6"/>
  <c r="H40" i="1"/>
  <c r="L45" i="6"/>
  <c r="L155" i="6"/>
  <c r="I40" i="1"/>
  <c r="M45" i="6"/>
  <c r="M155" i="6"/>
  <c r="J40" i="1"/>
  <c r="N45" i="6"/>
  <c r="N155" i="6"/>
  <c r="O155" i="6"/>
  <c r="I39" i="13"/>
  <c r="G44" i="6"/>
  <c r="G39" i="1"/>
  <c r="K44" i="6"/>
  <c r="K154" i="6"/>
  <c r="H39" i="1"/>
  <c r="L44" i="6"/>
  <c r="L154" i="6"/>
  <c r="I39" i="1"/>
  <c r="M44" i="6"/>
  <c r="M154" i="6"/>
  <c r="J39" i="1"/>
  <c r="N44" i="6"/>
  <c r="N154" i="6"/>
  <c r="O154" i="6"/>
  <c r="I38" i="13"/>
  <c r="G43" i="6"/>
  <c r="G38" i="1"/>
  <c r="K43" i="6"/>
  <c r="K153" i="6"/>
  <c r="H38" i="1"/>
  <c r="L43" i="6"/>
  <c r="L153" i="6"/>
  <c r="I38" i="1"/>
  <c r="M43" i="6"/>
  <c r="M153" i="6"/>
  <c r="J38" i="1"/>
  <c r="N43" i="6"/>
  <c r="N153" i="6"/>
  <c r="O153" i="6"/>
  <c r="I37" i="13"/>
  <c r="G42" i="6"/>
  <c r="G37" i="1"/>
  <c r="K42" i="6"/>
  <c r="K152" i="6"/>
  <c r="H37" i="1"/>
  <c r="L42" i="6"/>
  <c r="L152" i="6"/>
  <c r="I37" i="1"/>
  <c r="M42" i="6"/>
  <c r="M152" i="6"/>
  <c r="J37" i="1"/>
  <c r="N42" i="6"/>
  <c r="N152" i="6"/>
  <c r="O152" i="6"/>
  <c r="I35" i="13"/>
  <c r="G40" i="6"/>
  <c r="G35" i="1"/>
  <c r="K40" i="6"/>
  <c r="K150" i="6"/>
  <c r="H35" i="1"/>
  <c r="L40" i="6"/>
  <c r="L150" i="6"/>
  <c r="I35" i="1"/>
  <c r="M40" i="6"/>
  <c r="M150" i="6"/>
  <c r="J35" i="1"/>
  <c r="N40" i="6"/>
  <c r="N150" i="6"/>
  <c r="O150" i="6"/>
  <c r="I30" i="13"/>
  <c r="G35" i="6"/>
  <c r="G30" i="1"/>
  <c r="K35" i="6"/>
  <c r="K145" i="6"/>
  <c r="H30" i="1"/>
  <c r="L35" i="6"/>
  <c r="L145" i="6"/>
  <c r="I30" i="1"/>
  <c r="M35" i="6"/>
  <c r="M145" i="6"/>
  <c r="J30" i="1"/>
  <c r="N35" i="6"/>
  <c r="N145" i="6"/>
  <c r="O145" i="6"/>
  <c r="I29" i="13"/>
  <c r="G34" i="6"/>
  <c r="G29" i="1"/>
  <c r="K34" i="6"/>
  <c r="K144" i="6"/>
  <c r="H29" i="1"/>
  <c r="L34" i="6"/>
  <c r="L144" i="6"/>
  <c r="I29" i="1"/>
  <c r="M34" i="6"/>
  <c r="M144" i="6"/>
  <c r="J29" i="1"/>
  <c r="N34" i="6"/>
  <c r="N144" i="6"/>
  <c r="O144" i="6"/>
  <c r="I25" i="13"/>
  <c r="G30" i="6"/>
  <c r="G25" i="1"/>
  <c r="K30" i="6"/>
  <c r="K140" i="6"/>
  <c r="H25" i="1"/>
  <c r="L30" i="6"/>
  <c r="L140" i="6"/>
  <c r="I25" i="1"/>
  <c r="M30" i="6"/>
  <c r="M140" i="6"/>
  <c r="J25" i="1"/>
  <c r="N30" i="6"/>
  <c r="N140" i="6"/>
  <c r="O140" i="6"/>
  <c r="I24" i="13"/>
  <c r="G29" i="6"/>
  <c r="G24" i="1"/>
  <c r="K29" i="6"/>
  <c r="K139" i="6"/>
  <c r="H24" i="1"/>
  <c r="L29" i="6"/>
  <c r="L139" i="6"/>
  <c r="I24" i="1"/>
  <c r="M29" i="6"/>
  <c r="M139" i="6"/>
  <c r="J24" i="1"/>
  <c r="N29" i="6"/>
  <c r="N139" i="6"/>
  <c r="O139" i="6"/>
  <c r="I20" i="13"/>
  <c r="G25" i="6"/>
  <c r="G20" i="1"/>
  <c r="K25" i="6"/>
  <c r="K135" i="6"/>
  <c r="H20" i="1"/>
  <c r="L25" i="6"/>
  <c r="L135" i="6"/>
  <c r="I20" i="1"/>
  <c r="M25" i="6"/>
  <c r="M135" i="6"/>
  <c r="J20" i="1"/>
  <c r="N25" i="6"/>
  <c r="N135" i="6"/>
  <c r="O135" i="6"/>
  <c r="I19" i="13"/>
  <c r="G24" i="6"/>
  <c r="G19" i="1"/>
  <c r="K24" i="6"/>
  <c r="K134" i="6"/>
  <c r="H19" i="1"/>
  <c r="L24" i="6"/>
  <c r="L134" i="6"/>
  <c r="I19" i="1"/>
  <c r="M24" i="6"/>
  <c r="M134" i="6"/>
  <c r="J19" i="1"/>
  <c r="N24" i="6"/>
  <c r="N134" i="6"/>
  <c r="O134" i="6"/>
  <c r="I18" i="13"/>
  <c r="G23" i="6"/>
  <c r="G18" i="1"/>
  <c r="K23" i="6"/>
  <c r="K133" i="6"/>
  <c r="H18" i="1"/>
  <c r="L23" i="6"/>
  <c r="L133" i="6"/>
  <c r="I18" i="1"/>
  <c r="M23" i="6"/>
  <c r="M133" i="6"/>
  <c r="J18" i="1"/>
  <c r="N23" i="6"/>
  <c r="N133" i="6"/>
  <c r="O133" i="6"/>
  <c r="I17" i="13"/>
  <c r="G22" i="6"/>
  <c r="G17" i="1"/>
  <c r="K22" i="6"/>
  <c r="K132" i="6"/>
  <c r="H17" i="1"/>
  <c r="L22" i="6"/>
  <c r="L132" i="6"/>
  <c r="I17" i="1"/>
  <c r="M22" i="6"/>
  <c r="M132" i="6"/>
  <c r="J17" i="1"/>
  <c r="N22" i="6"/>
  <c r="N132" i="6"/>
  <c r="O132" i="6"/>
  <c r="I12" i="13"/>
  <c r="G17" i="6"/>
  <c r="G12" i="1"/>
  <c r="K17" i="6"/>
  <c r="K127" i="6"/>
  <c r="H12" i="1"/>
  <c r="L17" i="6"/>
  <c r="L127" i="6"/>
  <c r="I12" i="1"/>
  <c r="M17" i="6"/>
  <c r="M127" i="6"/>
  <c r="J12" i="1"/>
  <c r="N17" i="6"/>
  <c r="N127" i="6"/>
  <c r="O127" i="6"/>
  <c r="I11" i="13"/>
  <c r="G16" i="6"/>
  <c r="G11" i="1"/>
  <c r="K16" i="6"/>
  <c r="K126" i="6"/>
  <c r="H11" i="1"/>
  <c r="L16" i="6"/>
  <c r="L126" i="6"/>
  <c r="I11" i="1"/>
  <c r="M16" i="6"/>
  <c r="M126" i="6"/>
  <c r="J11" i="1"/>
  <c r="N16" i="6"/>
  <c r="N126" i="6"/>
  <c r="O126" i="6"/>
  <c r="I10" i="13"/>
  <c r="G15" i="6"/>
  <c r="G10" i="1"/>
  <c r="K15" i="6"/>
  <c r="K125" i="6"/>
  <c r="H10" i="1"/>
  <c r="L15" i="6"/>
  <c r="L125" i="6"/>
  <c r="I10" i="1"/>
  <c r="M15" i="6"/>
  <c r="M125" i="6"/>
  <c r="J10" i="1"/>
  <c r="N15" i="6"/>
  <c r="N125" i="6"/>
  <c r="O125" i="6"/>
  <c r="I9" i="13"/>
  <c r="G14" i="6"/>
  <c r="G9" i="1"/>
  <c r="K14" i="6"/>
  <c r="K124" i="6"/>
  <c r="H9" i="1"/>
  <c r="L14" i="6"/>
  <c r="L124" i="6"/>
  <c r="I9" i="1"/>
  <c r="M14" i="6"/>
  <c r="M124" i="6"/>
  <c r="J9" i="1"/>
  <c r="N14" i="6"/>
  <c r="N124" i="6"/>
  <c r="O124" i="6"/>
  <c r="K112" i="6"/>
  <c r="L112" i="6"/>
  <c r="M112" i="6"/>
  <c r="N112" i="6"/>
  <c r="O112" i="6"/>
  <c r="K111" i="6"/>
  <c r="L111" i="6"/>
  <c r="M111" i="6"/>
  <c r="N111" i="6"/>
  <c r="O111" i="6"/>
  <c r="K110" i="6"/>
  <c r="L110" i="6"/>
  <c r="M110" i="6"/>
  <c r="N110" i="6"/>
  <c r="O110" i="6"/>
  <c r="K107" i="6"/>
  <c r="L107" i="6"/>
  <c r="M107" i="6"/>
  <c r="N107" i="6"/>
  <c r="O107" i="6"/>
  <c r="K104" i="6"/>
  <c r="L104" i="6"/>
  <c r="M104" i="6"/>
  <c r="N104" i="6"/>
  <c r="O104" i="6"/>
  <c r="K100" i="6"/>
  <c r="L100" i="6"/>
  <c r="M100" i="6"/>
  <c r="N100" i="6"/>
  <c r="O100" i="6"/>
  <c r="K99" i="6"/>
  <c r="L99" i="6"/>
  <c r="M99" i="6"/>
  <c r="N99" i="6"/>
  <c r="O99" i="6"/>
  <c r="K98" i="6"/>
  <c r="L98" i="6"/>
  <c r="M98" i="6"/>
  <c r="N98" i="6"/>
  <c r="O98" i="6"/>
  <c r="K97" i="6"/>
  <c r="L97" i="6"/>
  <c r="M97" i="6"/>
  <c r="N97" i="6"/>
  <c r="O97" i="6"/>
  <c r="K95" i="6"/>
  <c r="L95" i="6"/>
  <c r="M95" i="6"/>
  <c r="N95" i="6"/>
  <c r="O95" i="6"/>
  <c r="K90" i="6"/>
  <c r="L90" i="6"/>
  <c r="M90" i="6"/>
  <c r="N90" i="6"/>
  <c r="O90" i="6"/>
  <c r="K89" i="6"/>
  <c r="L89" i="6"/>
  <c r="M89" i="6"/>
  <c r="N89" i="6"/>
  <c r="O89" i="6"/>
  <c r="K85" i="6"/>
  <c r="L85" i="6"/>
  <c r="M85" i="6"/>
  <c r="N85" i="6"/>
  <c r="O85" i="6"/>
  <c r="K84" i="6"/>
  <c r="L84" i="6"/>
  <c r="M84" i="6"/>
  <c r="N84" i="6"/>
  <c r="O84" i="6"/>
  <c r="K80" i="6"/>
  <c r="L80" i="6"/>
  <c r="M80" i="6"/>
  <c r="N80" i="6"/>
  <c r="O80" i="6"/>
  <c r="K79" i="6"/>
  <c r="L79" i="6"/>
  <c r="M79" i="6"/>
  <c r="N79" i="6"/>
  <c r="O79" i="6"/>
  <c r="K78" i="6"/>
  <c r="L78" i="6"/>
  <c r="M78" i="6"/>
  <c r="N78" i="6"/>
  <c r="O78" i="6"/>
  <c r="K77" i="6"/>
  <c r="L77" i="6"/>
  <c r="M77" i="6"/>
  <c r="N77" i="6"/>
  <c r="O77" i="6"/>
  <c r="K72" i="6"/>
  <c r="L72" i="6"/>
  <c r="M72" i="6"/>
  <c r="N72" i="6"/>
  <c r="O72" i="6"/>
  <c r="K71" i="6"/>
  <c r="L71" i="6"/>
  <c r="M71" i="6"/>
  <c r="N71" i="6"/>
  <c r="O71" i="6"/>
  <c r="K70" i="6"/>
  <c r="L70" i="6"/>
  <c r="M70" i="6"/>
  <c r="N70" i="6"/>
  <c r="O70" i="6"/>
  <c r="K69" i="6"/>
  <c r="L69" i="6"/>
  <c r="M69" i="6"/>
  <c r="N69" i="6"/>
  <c r="O69" i="6"/>
  <c r="O14" i="6"/>
  <c r="O15" i="6"/>
  <c r="O16" i="6"/>
  <c r="O17" i="6"/>
  <c r="O18" i="6"/>
  <c r="O22" i="6"/>
  <c r="O23" i="6"/>
  <c r="O24" i="6"/>
  <c r="O25" i="6"/>
  <c r="O26" i="6"/>
  <c r="O29" i="6"/>
  <c r="O30" i="6"/>
  <c r="O31" i="6"/>
  <c r="O34" i="6"/>
  <c r="O35" i="6"/>
  <c r="O36" i="6"/>
  <c r="O40" i="6"/>
  <c r="O42" i="6"/>
  <c r="O43" i="6"/>
  <c r="O44" i="6"/>
  <c r="O45" i="6"/>
  <c r="O46" i="6"/>
  <c r="O49" i="6"/>
  <c r="O52" i="6"/>
  <c r="O55" i="6"/>
  <c r="O56" i="6"/>
  <c r="O57" i="6"/>
  <c r="O58" i="6"/>
  <c r="O60" i="6"/>
  <c r="M46" i="6"/>
  <c r="N46" i="6"/>
  <c r="M58" i="6"/>
  <c r="N58" i="6"/>
  <c r="M18" i="6"/>
  <c r="M26" i="6"/>
  <c r="M31" i="6"/>
  <c r="M36" i="6"/>
  <c r="M60" i="6"/>
  <c r="N18" i="6"/>
  <c r="N26" i="6"/>
  <c r="N31" i="6"/>
  <c r="N36" i="6"/>
  <c r="N60" i="6"/>
  <c r="I41" i="1"/>
  <c r="J41" i="1"/>
  <c r="I53" i="1"/>
  <c r="J53" i="1"/>
  <c r="I13" i="1"/>
  <c r="I21" i="1"/>
  <c r="I26" i="1"/>
  <c r="I31" i="1"/>
  <c r="I55" i="1"/>
  <c r="J13" i="1"/>
  <c r="J21" i="1"/>
  <c r="J26" i="1"/>
  <c r="J31" i="1"/>
  <c r="J55" i="1"/>
  <c r="B118" i="6"/>
  <c r="B63" i="6"/>
  <c r="B119" i="9"/>
  <c r="B64" i="9"/>
  <c r="R54" i="16"/>
  <c r="Q54" i="16"/>
  <c r="O54" i="16"/>
  <c r="N54" i="16"/>
  <c r="M54" i="16"/>
  <c r="L54" i="16"/>
  <c r="K54" i="16"/>
  <c r="R53" i="16"/>
  <c r="Q53" i="16"/>
  <c r="O53" i="16"/>
  <c r="N53" i="16"/>
  <c r="M53" i="16"/>
  <c r="L53" i="16"/>
  <c r="K53" i="16"/>
  <c r="R52" i="16"/>
  <c r="Q52" i="16"/>
  <c r="O52" i="16"/>
  <c r="N52" i="16"/>
  <c r="M52" i="16"/>
  <c r="L52" i="16"/>
  <c r="K52" i="16"/>
  <c r="R49" i="16"/>
  <c r="Q49" i="16"/>
  <c r="O49" i="16"/>
  <c r="N49" i="16"/>
  <c r="M49" i="16"/>
  <c r="L49" i="16"/>
  <c r="K49" i="16"/>
  <c r="R46" i="16"/>
  <c r="Q46" i="16"/>
  <c r="O46" i="16"/>
  <c r="N46" i="16"/>
  <c r="M46" i="16"/>
  <c r="L46" i="16"/>
  <c r="K46" i="16"/>
  <c r="R43" i="16"/>
  <c r="Q43" i="16"/>
  <c r="O43" i="16"/>
  <c r="N43" i="16"/>
  <c r="M43" i="16"/>
  <c r="L43" i="16"/>
  <c r="K43" i="16"/>
  <c r="R42" i="16"/>
  <c r="Q42" i="16"/>
  <c r="O42" i="16"/>
  <c r="N42" i="16"/>
  <c r="M42" i="16"/>
  <c r="L42" i="16"/>
  <c r="K42" i="16"/>
  <c r="R41" i="16"/>
  <c r="Q41" i="16"/>
  <c r="O41" i="16"/>
  <c r="N41" i="16"/>
  <c r="M41" i="16"/>
  <c r="L41" i="16"/>
  <c r="K41" i="16"/>
  <c r="R40" i="16"/>
  <c r="Q40" i="16"/>
  <c r="O40" i="16"/>
  <c r="N40" i="16"/>
  <c r="M40" i="16"/>
  <c r="L40" i="16"/>
  <c r="K40" i="16"/>
  <c r="R38" i="16"/>
  <c r="Q38" i="16"/>
  <c r="O38" i="16"/>
  <c r="N38" i="16"/>
  <c r="M38" i="16"/>
  <c r="L38" i="16"/>
  <c r="K38" i="16"/>
  <c r="R34" i="16"/>
  <c r="Q34" i="16"/>
  <c r="O34" i="16"/>
  <c r="N34" i="16"/>
  <c r="M34" i="16"/>
  <c r="L34" i="16"/>
  <c r="K34" i="16"/>
  <c r="R33" i="16"/>
  <c r="Q33" i="16"/>
  <c r="O33" i="16"/>
  <c r="N33" i="16"/>
  <c r="M33" i="16"/>
  <c r="L33" i="16"/>
  <c r="K33" i="16"/>
  <c r="R30" i="16"/>
  <c r="Q30" i="16"/>
  <c r="O30" i="16"/>
  <c r="N30" i="16"/>
  <c r="M30" i="16"/>
  <c r="L30" i="16"/>
  <c r="K30" i="16"/>
  <c r="R29" i="16"/>
  <c r="Q29" i="16"/>
  <c r="O29" i="16"/>
  <c r="N29" i="16"/>
  <c r="M29" i="16"/>
  <c r="L29" i="16"/>
  <c r="K29" i="16"/>
  <c r="R26" i="16"/>
  <c r="Q26" i="16"/>
  <c r="O26" i="16"/>
  <c r="N26" i="16"/>
  <c r="M26" i="16"/>
  <c r="L26" i="16"/>
  <c r="K26" i="16"/>
  <c r="R25" i="16"/>
  <c r="Q25" i="16"/>
  <c r="O25" i="16"/>
  <c r="N25" i="16"/>
  <c r="M25" i="16"/>
  <c r="L25" i="16"/>
  <c r="K25" i="16"/>
  <c r="R24" i="16"/>
  <c r="Q24" i="16"/>
  <c r="O24" i="16"/>
  <c r="N24" i="16"/>
  <c r="M24" i="16"/>
  <c r="L24" i="16"/>
  <c r="K24" i="16"/>
  <c r="R23" i="16"/>
  <c r="Q23" i="16"/>
  <c r="O23" i="16"/>
  <c r="N23" i="16"/>
  <c r="M23" i="16"/>
  <c r="L23" i="16"/>
  <c r="K23" i="16"/>
  <c r="R19" i="16"/>
  <c r="Q19" i="16"/>
  <c r="O19" i="16"/>
  <c r="N19" i="16"/>
  <c r="M19" i="16"/>
  <c r="L19" i="16"/>
  <c r="K19" i="16"/>
  <c r="R18" i="16"/>
  <c r="Q18" i="16"/>
  <c r="O18" i="16"/>
  <c r="N18" i="16"/>
  <c r="M18" i="16"/>
  <c r="L18" i="16"/>
  <c r="K18" i="16"/>
  <c r="R17" i="16"/>
  <c r="Q17" i="16"/>
  <c r="O17" i="16"/>
  <c r="N17" i="16"/>
  <c r="M17" i="16"/>
  <c r="L17" i="16"/>
  <c r="K17" i="16"/>
  <c r="R16" i="16"/>
  <c r="Q16" i="16"/>
  <c r="O16" i="16"/>
  <c r="N16" i="16"/>
  <c r="M16" i="16"/>
  <c r="L16" i="16"/>
  <c r="K16" i="16"/>
  <c r="R54" i="17"/>
  <c r="Q54" i="17"/>
  <c r="P54" i="17"/>
  <c r="O54" i="17"/>
  <c r="N54" i="17"/>
  <c r="M54" i="17"/>
  <c r="L54" i="17"/>
  <c r="K54" i="17"/>
  <c r="R53" i="17"/>
  <c r="Q53" i="17"/>
  <c r="P53" i="17"/>
  <c r="O53" i="17"/>
  <c r="N53" i="17"/>
  <c r="M53" i="17"/>
  <c r="L53" i="17"/>
  <c r="K53" i="17"/>
  <c r="R52" i="17"/>
  <c r="Q52" i="17"/>
  <c r="P52" i="17"/>
  <c r="O52" i="17"/>
  <c r="N52" i="17"/>
  <c r="M52" i="17"/>
  <c r="L52" i="17"/>
  <c r="K52" i="17"/>
  <c r="R49" i="17"/>
  <c r="Q49" i="17"/>
  <c r="P49" i="17"/>
  <c r="O49" i="17"/>
  <c r="N49" i="17"/>
  <c r="M49" i="17"/>
  <c r="L49" i="17"/>
  <c r="K49" i="17"/>
  <c r="R46" i="17"/>
  <c r="Q46" i="17"/>
  <c r="P46" i="17"/>
  <c r="O46" i="17"/>
  <c r="N46" i="17"/>
  <c r="M46" i="17"/>
  <c r="L46" i="17"/>
  <c r="K46" i="17"/>
  <c r="R43" i="17"/>
  <c r="Q43" i="17"/>
  <c r="P43" i="17"/>
  <c r="O43" i="17"/>
  <c r="N43" i="17"/>
  <c r="M43" i="17"/>
  <c r="L43" i="17"/>
  <c r="K43" i="17"/>
  <c r="R42" i="17"/>
  <c r="Q42" i="17"/>
  <c r="P42" i="17"/>
  <c r="O42" i="17"/>
  <c r="N42" i="17"/>
  <c r="M42" i="17"/>
  <c r="L42" i="17"/>
  <c r="K42" i="17"/>
  <c r="R41" i="17"/>
  <c r="Q41" i="17"/>
  <c r="P41" i="17"/>
  <c r="O41" i="17"/>
  <c r="N41" i="17"/>
  <c r="M41" i="17"/>
  <c r="L41" i="17"/>
  <c r="K41" i="17"/>
  <c r="R40" i="17"/>
  <c r="Q40" i="17"/>
  <c r="P40" i="17"/>
  <c r="O40" i="17"/>
  <c r="N40" i="17"/>
  <c r="M40" i="17"/>
  <c r="L40" i="17"/>
  <c r="K40" i="17"/>
  <c r="R38" i="17"/>
  <c r="Q38" i="17"/>
  <c r="P38" i="17"/>
  <c r="O38" i="17"/>
  <c r="N38" i="17"/>
  <c r="M38" i="17"/>
  <c r="L38" i="17"/>
  <c r="K38" i="17"/>
  <c r="R34" i="17"/>
  <c r="Q34" i="17"/>
  <c r="P34" i="17"/>
  <c r="O34" i="17"/>
  <c r="N34" i="17"/>
  <c r="M34" i="17"/>
  <c r="L34" i="17"/>
  <c r="K34" i="17"/>
  <c r="R33" i="17"/>
  <c r="Q33" i="17"/>
  <c r="P33" i="17"/>
  <c r="O33" i="17"/>
  <c r="N33" i="17"/>
  <c r="M33" i="17"/>
  <c r="L33" i="17"/>
  <c r="K33" i="17"/>
  <c r="R30" i="17"/>
  <c r="Q30" i="17"/>
  <c r="P30" i="17"/>
  <c r="O30" i="17"/>
  <c r="N30" i="17"/>
  <c r="M30" i="17"/>
  <c r="L30" i="17"/>
  <c r="K30" i="17"/>
  <c r="R29" i="17"/>
  <c r="Q29" i="17"/>
  <c r="P29" i="17"/>
  <c r="O29" i="17"/>
  <c r="N29" i="17"/>
  <c r="M29" i="17"/>
  <c r="L29" i="17"/>
  <c r="K29" i="17"/>
  <c r="R26" i="17"/>
  <c r="Q26" i="17"/>
  <c r="P26" i="17"/>
  <c r="O26" i="17"/>
  <c r="N26" i="17"/>
  <c r="M26" i="17"/>
  <c r="L26" i="17"/>
  <c r="K26" i="17"/>
  <c r="R25" i="17"/>
  <c r="Q25" i="17"/>
  <c r="P25" i="17"/>
  <c r="O25" i="17"/>
  <c r="N25" i="17"/>
  <c r="M25" i="17"/>
  <c r="L25" i="17"/>
  <c r="K25" i="17"/>
  <c r="R24" i="17"/>
  <c r="Q24" i="17"/>
  <c r="P24" i="17"/>
  <c r="O24" i="17"/>
  <c r="N24" i="17"/>
  <c r="M24" i="17"/>
  <c r="L24" i="17"/>
  <c r="K24" i="17"/>
  <c r="R23" i="17"/>
  <c r="Q23" i="17"/>
  <c r="P23" i="17"/>
  <c r="O23" i="17"/>
  <c r="N23" i="17"/>
  <c r="M23" i="17"/>
  <c r="L23" i="17"/>
  <c r="K23" i="17"/>
  <c r="R19" i="17"/>
  <c r="Q19" i="17"/>
  <c r="P19" i="17"/>
  <c r="O19" i="17"/>
  <c r="N19" i="17"/>
  <c r="M19" i="17"/>
  <c r="L19" i="17"/>
  <c r="K19" i="17"/>
  <c r="R18" i="17"/>
  <c r="Q18" i="17"/>
  <c r="P18" i="17"/>
  <c r="O18" i="17"/>
  <c r="N18" i="17"/>
  <c r="M18" i="17"/>
  <c r="L18" i="17"/>
  <c r="K18" i="17"/>
  <c r="R17" i="17"/>
  <c r="Q17" i="17"/>
  <c r="P17" i="17"/>
  <c r="O17" i="17"/>
  <c r="N17" i="17"/>
  <c r="M17" i="17"/>
  <c r="L17" i="17"/>
  <c r="K17" i="17"/>
  <c r="R16" i="17"/>
  <c r="Q16" i="17"/>
  <c r="P16" i="17"/>
  <c r="O16" i="17"/>
  <c r="N16" i="17"/>
  <c r="M16" i="17"/>
  <c r="L16" i="17"/>
  <c r="K16" i="17"/>
  <c r="M4" i="17"/>
  <c r="M4" i="16"/>
  <c r="L16" i="3"/>
  <c r="L64" i="1"/>
  <c r="P15" i="9"/>
  <c r="P70" i="9"/>
  <c r="M16" i="3"/>
  <c r="M64" i="1"/>
  <c r="Q15" i="9"/>
  <c r="Q70" i="9"/>
  <c r="N16" i="3"/>
  <c r="N64" i="1"/>
  <c r="R15" i="9"/>
  <c r="R70" i="9"/>
  <c r="O16" i="3"/>
  <c r="O64" i="1"/>
  <c r="S15" i="9"/>
  <c r="S70" i="9"/>
  <c r="P16" i="3"/>
  <c r="P64" i="1"/>
  <c r="T15" i="9"/>
  <c r="T70" i="9"/>
  <c r="U70" i="9"/>
  <c r="L17" i="3"/>
  <c r="L65" i="1"/>
  <c r="P16" i="9"/>
  <c r="P71" i="9"/>
  <c r="M17" i="3"/>
  <c r="M65" i="1"/>
  <c r="Q16" i="9"/>
  <c r="Q71" i="9"/>
  <c r="N17" i="3"/>
  <c r="N65" i="1"/>
  <c r="R16" i="9"/>
  <c r="R71" i="9"/>
  <c r="O17" i="3"/>
  <c r="O65" i="1"/>
  <c r="S16" i="9"/>
  <c r="S71" i="9"/>
  <c r="P17" i="3"/>
  <c r="P65" i="1"/>
  <c r="T16" i="9"/>
  <c r="T71" i="9"/>
  <c r="U71" i="9"/>
  <c r="L18" i="3"/>
  <c r="L66" i="1"/>
  <c r="P17" i="9"/>
  <c r="P72" i="9"/>
  <c r="M18" i="3"/>
  <c r="M66" i="1"/>
  <c r="Q17" i="9"/>
  <c r="Q72" i="9"/>
  <c r="N18" i="3"/>
  <c r="N66" i="1"/>
  <c r="R17" i="9"/>
  <c r="R72" i="9"/>
  <c r="O18" i="3"/>
  <c r="O66" i="1"/>
  <c r="S17" i="9"/>
  <c r="S72" i="9"/>
  <c r="P18" i="3"/>
  <c r="P66" i="1"/>
  <c r="T17" i="9"/>
  <c r="T72" i="9"/>
  <c r="U72" i="9"/>
  <c r="L19" i="3"/>
  <c r="L67" i="1"/>
  <c r="P18" i="9"/>
  <c r="P73" i="9"/>
  <c r="M19" i="3"/>
  <c r="M67" i="1"/>
  <c r="Q18" i="9"/>
  <c r="Q73" i="9"/>
  <c r="N19" i="3"/>
  <c r="N67" i="1"/>
  <c r="R18" i="9"/>
  <c r="R73" i="9"/>
  <c r="O19" i="3"/>
  <c r="O67" i="1"/>
  <c r="S18" i="9"/>
  <c r="S73" i="9"/>
  <c r="P19" i="3"/>
  <c r="P67" i="1"/>
  <c r="T18" i="9"/>
  <c r="T73" i="9"/>
  <c r="U73" i="9"/>
  <c r="U74" i="9"/>
  <c r="P78" i="9"/>
  <c r="Q78" i="9"/>
  <c r="R78" i="9"/>
  <c r="S78" i="9"/>
  <c r="T78" i="9"/>
  <c r="U78" i="9"/>
  <c r="P79" i="9"/>
  <c r="Q79" i="9"/>
  <c r="R79" i="9"/>
  <c r="S79" i="9"/>
  <c r="T79" i="9"/>
  <c r="U79" i="9"/>
  <c r="P80" i="9"/>
  <c r="Q80" i="9"/>
  <c r="R80" i="9"/>
  <c r="S80" i="9"/>
  <c r="T80" i="9"/>
  <c r="U80" i="9"/>
  <c r="L26" i="3"/>
  <c r="L75" i="1"/>
  <c r="P26" i="9"/>
  <c r="P81" i="9"/>
  <c r="M26" i="3"/>
  <c r="M75" i="1"/>
  <c r="Q26" i="9"/>
  <c r="Q81" i="9"/>
  <c r="N26" i="3"/>
  <c r="N75" i="1"/>
  <c r="R26" i="9"/>
  <c r="R81" i="9"/>
  <c r="O26" i="3"/>
  <c r="O75" i="1"/>
  <c r="S26" i="9"/>
  <c r="S81" i="9"/>
  <c r="P26" i="3"/>
  <c r="P75" i="1"/>
  <c r="T26" i="9"/>
  <c r="T81" i="9"/>
  <c r="U81" i="9"/>
  <c r="U82" i="9"/>
  <c r="L29" i="3"/>
  <c r="L79" i="1"/>
  <c r="P30" i="9"/>
  <c r="P85" i="9"/>
  <c r="M29" i="3"/>
  <c r="M79" i="1"/>
  <c r="Q30" i="9"/>
  <c r="Q85" i="9"/>
  <c r="N29" i="3"/>
  <c r="N79" i="1"/>
  <c r="R30" i="9"/>
  <c r="R85" i="9"/>
  <c r="O29" i="3"/>
  <c r="O79" i="1"/>
  <c r="S30" i="9"/>
  <c r="S85" i="9"/>
  <c r="P29" i="3"/>
  <c r="P79" i="1"/>
  <c r="T30" i="9"/>
  <c r="T85" i="9"/>
  <c r="U85" i="9"/>
  <c r="L30" i="3"/>
  <c r="L80" i="1"/>
  <c r="P31" i="9"/>
  <c r="P86" i="9"/>
  <c r="M30" i="3"/>
  <c r="M80" i="1"/>
  <c r="Q31" i="9"/>
  <c r="Q86" i="9"/>
  <c r="N30" i="3"/>
  <c r="N80" i="1"/>
  <c r="R31" i="9"/>
  <c r="R86" i="9"/>
  <c r="O30" i="3"/>
  <c r="O80" i="1"/>
  <c r="S31" i="9"/>
  <c r="S86" i="9"/>
  <c r="P30" i="3"/>
  <c r="P80" i="1"/>
  <c r="T31" i="9"/>
  <c r="T86" i="9"/>
  <c r="U86" i="9"/>
  <c r="U87" i="9"/>
  <c r="L33" i="3"/>
  <c r="L84" i="1"/>
  <c r="P35" i="9"/>
  <c r="P90" i="9"/>
  <c r="M33" i="3"/>
  <c r="M84" i="1"/>
  <c r="Q35" i="9"/>
  <c r="Q90" i="9"/>
  <c r="N33" i="3"/>
  <c r="N84" i="1"/>
  <c r="R35" i="9"/>
  <c r="R90" i="9"/>
  <c r="O33" i="3"/>
  <c r="O84" i="1"/>
  <c r="S35" i="9"/>
  <c r="S90" i="9"/>
  <c r="P33" i="3"/>
  <c r="P84" i="1"/>
  <c r="T35" i="9"/>
  <c r="T90" i="9"/>
  <c r="U90" i="9"/>
  <c r="L85" i="1"/>
  <c r="P36" i="9"/>
  <c r="P91" i="9"/>
  <c r="M85" i="1"/>
  <c r="Q36" i="9"/>
  <c r="Q91" i="9"/>
  <c r="N34" i="3"/>
  <c r="N85" i="1"/>
  <c r="R36" i="9"/>
  <c r="R91" i="9"/>
  <c r="O34" i="3"/>
  <c r="O85" i="1"/>
  <c r="S36" i="9"/>
  <c r="S91" i="9"/>
  <c r="P34" i="3"/>
  <c r="P85" i="1"/>
  <c r="T36" i="9"/>
  <c r="T91" i="9"/>
  <c r="U91" i="9"/>
  <c r="U92" i="9"/>
  <c r="L38" i="3"/>
  <c r="L90" i="1"/>
  <c r="P41" i="9"/>
  <c r="P96" i="9"/>
  <c r="M38" i="3"/>
  <c r="M90" i="1"/>
  <c r="Q41" i="9"/>
  <c r="Q96" i="9"/>
  <c r="N38" i="3"/>
  <c r="N90" i="1"/>
  <c r="R41" i="9"/>
  <c r="R96" i="9"/>
  <c r="O38" i="3"/>
  <c r="O90" i="1"/>
  <c r="S41" i="9"/>
  <c r="S96" i="9"/>
  <c r="P38" i="3"/>
  <c r="P90" i="1"/>
  <c r="T41" i="9"/>
  <c r="T96" i="9"/>
  <c r="U96" i="9"/>
  <c r="L40" i="3"/>
  <c r="L92" i="1"/>
  <c r="P43" i="9"/>
  <c r="P98" i="9"/>
  <c r="M40" i="3"/>
  <c r="M92" i="1"/>
  <c r="Q43" i="9"/>
  <c r="Q98" i="9"/>
  <c r="N40" i="3"/>
  <c r="N92" i="1"/>
  <c r="R43" i="9"/>
  <c r="R98" i="9"/>
  <c r="O40" i="3"/>
  <c r="O92" i="1"/>
  <c r="S43" i="9"/>
  <c r="S98" i="9"/>
  <c r="P40" i="3"/>
  <c r="P92" i="1"/>
  <c r="T43" i="9"/>
  <c r="T98" i="9"/>
  <c r="U98" i="9"/>
  <c r="L41" i="3"/>
  <c r="L93" i="1"/>
  <c r="P44" i="9"/>
  <c r="P99" i="9"/>
  <c r="M41" i="3"/>
  <c r="M93" i="1"/>
  <c r="Q44" i="9"/>
  <c r="Q99" i="9"/>
  <c r="N41" i="3"/>
  <c r="N93" i="1"/>
  <c r="R44" i="9"/>
  <c r="R99" i="9"/>
  <c r="O41" i="3"/>
  <c r="O93" i="1"/>
  <c r="S44" i="9"/>
  <c r="S99" i="9"/>
  <c r="P41" i="3"/>
  <c r="P93" i="1"/>
  <c r="T44" i="9"/>
  <c r="T99" i="9"/>
  <c r="U99" i="9"/>
  <c r="L42" i="3"/>
  <c r="L94" i="1"/>
  <c r="P45" i="9"/>
  <c r="P100" i="9"/>
  <c r="M42" i="3"/>
  <c r="M94" i="1"/>
  <c r="Q45" i="9"/>
  <c r="Q100" i="9"/>
  <c r="N42" i="3"/>
  <c r="N94" i="1"/>
  <c r="R45" i="9"/>
  <c r="R100" i="9"/>
  <c r="O42" i="3"/>
  <c r="O94" i="1"/>
  <c r="S45" i="9"/>
  <c r="S100" i="9"/>
  <c r="P42" i="3"/>
  <c r="P94" i="1"/>
  <c r="T45" i="9"/>
  <c r="T100" i="9"/>
  <c r="U100" i="9"/>
  <c r="L43" i="3"/>
  <c r="L95" i="1"/>
  <c r="P46" i="9"/>
  <c r="P101" i="9"/>
  <c r="M43" i="3"/>
  <c r="M95" i="1"/>
  <c r="Q46" i="9"/>
  <c r="Q101" i="9"/>
  <c r="N43" i="3"/>
  <c r="N95" i="1"/>
  <c r="R46" i="9"/>
  <c r="R101" i="9"/>
  <c r="O43" i="3"/>
  <c r="O95" i="1"/>
  <c r="S46" i="9"/>
  <c r="S101" i="9"/>
  <c r="P43" i="3"/>
  <c r="P95" i="1"/>
  <c r="T46" i="9"/>
  <c r="T101" i="9"/>
  <c r="U101" i="9"/>
  <c r="U102" i="9"/>
  <c r="L46" i="3"/>
  <c r="L99" i="1"/>
  <c r="P50" i="9"/>
  <c r="P105" i="9"/>
  <c r="M46" i="3"/>
  <c r="M99" i="1"/>
  <c r="Q50" i="9"/>
  <c r="Q105" i="9"/>
  <c r="N46" i="3"/>
  <c r="N99" i="1"/>
  <c r="R50" i="9"/>
  <c r="R105" i="9"/>
  <c r="O46" i="3"/>
  <c r="O99" i="1"/>
  <c r="S50" i="9"/>
  <c r="S105" i="9"/>
  <c r="P46" i="3"/>
  <c r="P99" i="1"/>
  <c r="T50" i="9"/>
  <c r="T105" i="9"/>
  <c r="U105" i="9"/>
  <c r="L49" i="3"/>
  <c r="L102" i="1"/>
  <c r="P53" i="9"/>
  <c r="P108" i="9"/>
  <c r="M49" i="3"/>
  <c r="M102" i="1"/>
  <c r="Q53" i="9"/>
  <c r="Q108" i="9"/>
  <c r="N49" i="3"/>
  <c r="N102" i="1"/>
  <c r="R53" i="9"/>
  <c r="R108" i="9"/>
  <c r="O49" i="3"/>
  <c r="O102" i="1"/>
  <c r="S53" i="9"/>
  <c r="S108" i="9"/>
  <c r="P49" i="3"/>
  <c r="P102" i="1"/>
  <c r="T53" i="9"/>
  <c r="T108" i="9"/>
  <c r="U108" i="9"/>
  <c r="L52" i="3"/>
  <c r="L105" i="1"/>
  <c r="P56" i="9"/>
  <c r="P111" i="9"/>
  <c r="M52" i="3"/>
  <c r="M105" i="1"/>
  <c r="Q56" i="9"/>
  <c r="Q111" i="9"/>
  <c r="N52" i="3"/>
  <c r="N105" i="1"/>
  <c r="R56" i="9"/>
  <c r="R111" i="9"/>
  <c r="O52" i="3"/>
  <c r="O105" i="1"/>
  <c r="S56" i="9"/>
  <c r="S111" i="9"/>
  <c r="P52" i="3"/>
  <c r="P105" i="1"/>
  <c r="T56" i="9"/>
  <c r="T111" i="9"/>
  <c r="U111" i="9"/>
  <c r="L53" i="3"/>
  <c r="L106" i="1"/>
  <c r="P57" i="9"/>
  <c r="P112" i="9"/>
  <c r="M53" i="3"/>
  <c r="M106" i="1"/>
  <c r="Q57" i="9"/>
  <c r="Q112" i="9"/>
  <c r="N53" i="3"/>
  <c r="N106" i="1"/>
  <c r="R57" i="9"/>
  <c r="R112" i="9"/>
  <c r="O53" i="3"/>
  <c r="O106" i="1"/>
  <c r="S57" i="9"/>
  <c r="S112" i="9"/>
  <c r="P53" i="3"/>
  <c r="P106" i="1"/>
  <c r="T57" i="9"/>
  <c r="T112" i="9"/>
  <c r="U112" i="9"/>
  <c r="L54" i="3"/>
  <c r="L107" i="1"/>
  <c r="P58" i="9"/>
  <c r="P113" i="9"/>
  <c r="M54" i="3"/>
  <c r="M107" i="1"/>
  <c r="Q58" i="9"/>
  <c r="Q113" i="9"/>
  <c r="N54" i="3"/>
  <c r="N107" i="1"/>
  <c r="R58" i="9"/>
  <c r="R113" i="9"/>
  <c r="O54" i="3"/>
  <c r="O107" i="1"/>
  <c r="S58" i="9"/>
  <c r="S113" i="9"/>
  <c r="P54" i="3"/>
  <c r="P107" i="1"/>
  <c r="T58" i="9"/>
  <c r="T113" i="9"/>
  <c r="U113" i="9"/>
  <c r="U114" i="9"/>
  <c r="U116" i="9"/>
  <c r="O19" i="9"/>
  <c r="O27" i="9"/>
  <c r="O32" i="9"/>
  <c r="O37" i="9"/>
  <c r="O47" i="9"/>
  <c r="O59" i="9"/>
  <c r="O61" i="9"/>
  <c r="K19" i="9"/>
  <c r="K27" i="9"/>
  <c r="K32" i="9"/>
  <c r="K37" i="9"/>
  <c r="K47" i="9"/>
  <c r="K59" i="9"/>
  <c r="K61" i="9"/>
  <c r="U30" i="9"/>
  <c r="U31" i="9"/>
  <c r="U32" i="9"/>
  <c r="U15" i="9"/>
  <c r="U16" i="9"/>
  <c r="U17" i="9"/>
  <c r="U18" i="9"/>
  <c r="U19" i="9"/>
  <c r="U26" i="9"/>
  <c r="U27" i="9"/>
  <c r="U35" i="9"/>
  <c r="U36" i="9"/>
  <c r="U37" i="9"/>
  <c r="U41" i="9"/>
  <c r="U43" i="9"/>
  <c r="U44" i="9"/>
  <c r="U45" i="9"/>
  <c r="U46" i="9"/>
  <c r="U47" i="9"/>
  <c r="U50" i="9"/>
  <c r="U53" i="9"/>
  <c r="U56" i="9"/>
  <c r="U57" i="9"/>
  <c r="U58" i="9"/>
  <c r="U59" i="9"/>
  <c r="U61" i="9"/>
  <c r="R16" i="3"/>
  <c r="R64" i="1"/>
  <c r="V15" i="9"/>
  <c r="S16" i="3"/>
  <c r="S64" i="1"/>
  <c r="W15" i="9"/>
  <c r="T16" i="3"/>
  <c r="T64" i="1"/>
  <c r="X15" i="9"/>
  <c r="H15" i="9"/>
  <c r="R17" i="3"/>
  <c r="R65" i="1"/>
  <c r="V16" i="9"/>
  <c r="S17" i="3"/>
  <c r="S65" i="1"/>
  <c r="W16" i="9"/>
  <c r="T17" i="3"/>
  <c r="T65" i="1"/>
  <c r="X16" i="9"/>
  <c r="H16" i="9"/>
  <c r="R18" i="3"/>
  <c r="R66" i="1"/>
  <c r="V17" i="9"/>
  <c r="S18" i="3"/>
  <c r="S66" i="1"/>
  <c r="W17" i="9"/>
  <c r="T18" i="3"/>
  <c r="T66" i="1"/>
  <c r="X17" i="9"/>
  <c r="H17" i="9"/>
  <c r="R19" i="3"/>
  <c r="R67" i="1"/>
  <c r="V18" i="9"/>
  <c r="S19" i="3"/>
  <c r="S67" i="1"/>
  <c r="W18" i="9"/>
  <c r="T19" i="3"/>
  <c r="T67" i="1"/>
  <c r="X18" i="9"/>
  <c r="H18" i="9"/>
  <c r="H19" i="9"/>
  <c r="R26" i="3"/>
  <c r="R75" i="1"/>
  <c r="V26" i="9"/>
  <c r="S26" i="3"/>
  <c r="S75" i="1"/>
  <c r="W26" i="9"/>
  <c r="T26" i="3"/>
  <c r="T75" i="1"/>
  <c r="X26" i="9"/>
  <c r="H26" i="9"/>
  <c r="H27" i="9"/>
  <c r="R29" i="3"/>
  <c r="R79" i="1"/>
  <c r="V30" i="9"/>
  <c r="S29" i="3"/>
  <c r="S79" i="1"/>
  <c r="W30" i="9"/>
  <c r="T29" i="3"/>
  <c r="T79" i="1"/>
  <c r="X30" i="9"/>
  <c r="H30" i="9"/>
  <c r="R30" i="3"/>
  <c r="R80" i="1"/>
  <c r="V31" i="9"/>
  <c r="S30" i="3"/>
  <c r="S80" i="1"/>
  <c r="W31" i="9"/>
  <c r="T30" i="3"/>
  <c r="T80" i="1"/>
  <c r="X31" i="9"/>
  <c r="H31" i="9"/>
  <c r="H32" i="9"/>
  <c r="R33" i="3"/>
  <c r="R84" i="1"/>
  <c r="V35" i="9"/>
  <c r="S33" i="3"/>
  <c r="S84" i="1"/>
  <c r="W35" i="9"/>
  <c r="T33" i="3"/>
  <c r="T84" i="1"/>
  <c r="X35" i="9"/>
  <c r="H35" i="9"/>
  <c r="R34" i="3"/>
  <c r="R85" i="1"/>
  <c r="V36" i="9"/>
  <c r="S34" i="3"/>
  <c r="S85" i="1"/>
  <c r="W36" i="9"/>
  <c r="T34" i="3"/>
  <c r="T85" i="1"/>
  <c r="X36" i="9"/>
  <c r="H36" i="9"/>
  <c r="H37" i="9"/>
  <c r="R38" i="3"/>
  <c r="R90" i="1"/>
  <c r="V41" i="9"/>
  <c r="S38" i="3"/>
  <c r="S90" i="1"/>
  <c r="W41" i="9"/>
  <c r="T38" i="3"/>
  <c r="T90" i="1"/>
  <c r="X41" i="9"/>
  <c r="H41" i="9"/>
  <c r="R40" i="3"/>
  <c r="R92" i="1"/>
  <c r="V43" i="9"/>
  <c r="S40" i="3"/>
  <c r="S92" i="1"/>
  <c r="W43" i="9"/>
  <c r="T40" i="3"/>
  <c r="T92" i="1"/>
  <c r="X43" i="9"/>
  <c r="H43" i="9"/>
  <c r="R41" i="3"/>
  <c r="R93" i="1"/>
  <c r="V44" i="9"/>
  <c r="S41" i="3"/>
  <c r="S93" i="1"/>
  <c r="W44" i="9"/>
  <c r="T41" i="3"/>
  <c r="T93" i="1"/>
  <c r="X44" i="9"/>
  <c r="H44" i="9"/>
  <c r="R42" i="3"/>
  <c r="R94" i="1"/>
  <c r="V45" i="9"/>
  <c r="S42" i="3"/>
  <c r="S94" i="1"/>
  <c r="W45" i="9"/>
  <c r="T42" i="3"/>
  <c r="T94" i="1"/>
  <c r="X45" i="9"/>
  <c r="H45" i="9"/>
  <c r="R43" i="3"/>
  <c r="R95" i="1"/>
  <c r="V46" i="9"/>
  <c r="S43" i="3"/>
  <c r="S95" i="1"/>
  <c r="W46" i="9"/>
  <c r="T43" i="3"/>
  <c r="T95" i="1"/>
  <c r="X46" i="9"/>
  <c r="H46" i="9"/>
  <c r="H47" i="9"/>
  <c r="R46" i="3"/>
  <c r="R99" i="1"/>
  <c r="V50" i="9"/>
  <c r="S46" i="3"/>
  <c r="S99" i="1"/>
  <c r="W50" i="9"/>
  <c r="T46" i="3"/>
  <c r="T99" i="1"/>
  <c r="X50" i="9"/>
  <c r="H50" i="9"/>
  <c r="R49" i="3"/>
  <c r="R102" i="1"/>
  <c r="V53" i="9"/>
  <c r="S49" i="3"/>
  <c r="S102" i="1"/>
  <c r="W53" i="9"/>
  <c r="T49" i="3"/>
  <c r="T102" i="1"/>
  <c r="X53" i="9"/>
  <c r="H53" i="9"/>
  <c r="R52" i="3"/>
  <c r="R105" i="1"/>
  <c r="V56" i="9"/>
  <c r="S52" i="3"/>
  <c r="S105" i="1"/>
  <c r="W56" i="9"/>
  <c r="T52" i="3"/>
  <c r="T105" i="1"/>
  <c r="X56" i="9"/>
  <c r="H56" i="9"/>
  <c r="R53" i="3"/>
  <c r="R106" i="1"/>
  <c r="V57" i="9"/>
  <c r="S53" i="3"/>
  <c r="S106" i="1"/>
  <c r="W57" i="9"/>
  <c r="T53" i="3"/>
  <c r="T106" i="1"/>
  <c r="X57" i="9"/>
  <c r="H57" i="9"/>
  <c r="R54" i="3"/>
  <c r="R107" i="1"/>
  <c r="V58" i="9"/>
  <c r="S54" i="3"/>
  <c r="S107" i="1"/>
  <c r="W58" i="9"/>
  <c r="T54" i="3"/>
  <c r="T107" i="1"/>
  <c r="X58" i="9"/>
  <c r="H58" i="9"/>
  <c r="H59" i="9"/>
  <c r="H61" i="9"/>
  <c r="L19" i="9"/>
  <c r="L27" i="9"/>
  <c r="L32" i="9"/>
  <c r="L37" i="9"/>
  <c r="L47" i="9"/>
  <c r="L59" i="9"/>
  <c r="L61" i="9"/>
  <c r="X19" i="9"/>
  <c r="X27" i="9"/>
  <c r="X32" i="9"/>
  <c r="X37" i="9"/>
  <c r="X47" i="9"/>
  <c r="X59" i="9"/>
  <c r="X61" i="9"/>
  <c r="W19" i="9"/>
  <c r="W27" i="9"/>
  <c r="W32" i="9"/>
  <c r="W37" i="9"/>
  <c r="W47" i="9"/>
  <c r="W59" i="9"/>
  <c r="W61" i="9"/>
  <c r="V19" i="9"/>
  <c r="V27" i="9"/>
  <c r="V32" i="9"/>
  <c r="V37" i="9"/>
  <c r="V47" i="9"/>
  <c r="V59" i="9"/>
  <c r="V61" i="9"/>
  <c r="N19" i="9"/>
  <c r="N27" i="9"/>
  <c r="N32" i="9"/>
  <c r="N37" i="9"/>
  <c r="N47" i="9"/>
  <c r="N59" i="9"/>
  <c r="N61" i="9"/>
  <c r="M19" i="9"/>
  <c r="M27" i="9"/>
  <c r="M32" i="9"/>
  <c r="M37" i="9"/>
  <c r="M47" i="9"/>
  <c r="M59" i="9"/>
  <c r="M61" i="9"/>
  <c r="T19" i="9"/>
  <c r="T27" i="9"/>
  <c r="T32" i="9"/>
  <c r="T37" i="9"/>
  <c r="T47" i="9"/>
  <c r="T59" i="9"/>
  <c r="T61" i="9"/>
  <c r="S19" i="9"/>
  <c r="S27" i="9"/>
  <c r="S32" i="9"/>
  <c r="S37" i="9"/>
  <c r="S47" i="9"/>
  <c r="S59" i="9"/>
  <c r="S61" i="9"/>
  <c r="R19" i="9"/>
  <c r="R27" i="9"/>
  <c r="R32" i="9"/>
  <c r="R37" i="9"/>
  <c r="R47" i="9"/>
  <c r="R59" i="9"/>
  <c r="R61" i="9"/>
  <c r="Q19" i="9"/>
  <c r="Q27" i="9"/>
  <c r="Q32" i="9"/>
  <c r="Q37" i="9"/>
  <c r="Q47" i="9"/>
  <c r="Q59" i="9"/>
  <c r="Q61" i="9"/>
  <c r="P19" i="9"/>
  <c r="P27" i="9"/>
  <c r="P32" i="9"/>
  <c r="P37" i="9"/>
  <c r="P47" i="9"/>
  <c r="P59" i="9"/>
  <c r="P61" i="9"/>
  <c r="G18" i="6"/>
  <c r="G26" i="6"/>
  <c r="G31" i="6"/>
  <c r="G36" i="6"/>
  <c r="G46" i="6"/>
  <c r="G58" i="6"/>
  <c r="G60" i="6"/>
  <c r="L17" i="1"/>
  <c r="P22" i="6"/>
  <c r="M17" i="1"/>
  <c r="Q22" i="6"/>
  <c r="N17" i="1"/>
  <c r="R22" i="6"/>
  <c r="O17" i="1"/>
  <c r="S22" i="6"/>
  <c r="P17" i="1"/>
  <c r="T22" i="6"/>
  <c r="U22" i="6"/>
  <c r="R17" i="1"/>
  <c r="V22" i="6"/>
  <c r="S17" i="1"/>
  <c r="W22" i="6"/>
  <c r="T17" i="1"/>
  <c r="X22" i="6"/>
  <c r="H22" i="6"/>
  <c r="L18" i="1"/>
  <c r="P23" i="6"/>
  <c r="M18" i="1"/>
  <c r="Q23" i="6"/>
  <c r="N18" i="1"/>
  <c r="R23" i="6"/>
  <c r="O18" i="1"/>
  <c r="S23" i="6"/>
  <c r="P18" i="1"/>
  <c r="T23" i="6"/>
  <c r="U23" i="6"/>
  <c r="R18" i="1"/>
  <c r="V23" i="6"/>
  <c r="S18" i="1"/>
  <c r="W23" i="6"/>
  <c r="T18" i="1"/>
  <c r="X23" i="6"/>
  <c r="H23" i="6"/>
  <c r="L9" i="1"/>
  <c r="P14" i="6"/>
  <c r="M9" i="1"/>
  <c r="Q14" i="6"/>
  <c r="N9" i="1"/>
  <c r="R14" i="6"/>
  <c r="O9" i="1"/>
  <c r="S14" i="6"/>
  <c r="P9" i="1"/>
  <c r="T14" i="6"/>
  <c r="U14" i="6"/>
  <c r="R9" i="1"/>
  <c r="V14" i="6"/>
  <c r="S9" i="1"/>
  <c r="W14" i="6"/>
  <c r="T9" i="1"/>
  <c r="X14" i="6"/>
  <c r="H14" i="6"/>
  <c r="L10" i="1"/>
  <c r="P15" i="6"/>
  <c r="M10" i="1"/>
  <c r="Q15" i="6"/>
  <c r="N10" i="1"/>
  <c r="R15" i="6"/>
  <c r="O10" i="1"/>
  <c r="S15" i="6"/>
  <c r="P10" i="1"/>
  <c r="T15" i="6"/>
  <c r="U15" i="6"/>
  <c r="R10" i="1"/>
  <c r="V15" i="6"/>
  <c r="S10" i="1"/>
  <c r="W15" i="6"/>
  <c r="T10" i="1"/>
  <c r="X15" i="6"/>
  <c r="H15" i="6"/>
  <c r="L11" i="1"/>
  <c r="P16" i="6"/>
  <c r="M11" i="1"/>
  <c r="Q16" i="6"/>
  <c r="N11" i="1"/>
  <c r="R16" i="6"/>
  <c r="O11" i="1"/>
  <c r="S16" i="6"/>
  <c r="P11" i="1"/>
  <c r="T16" i="6"/>
  <c r="U16" i="6"/>
  <c r="R11" i="1"/>
  <c r="V16" i="6"/>
  <c r="S11" i="1"/>
  <c r="W16" i="6"/>
  <c r="T11" i="1"/>
  <c r="X16" i="6"/>
  <c r="H16" i="6"/>
  <c r="L12" i="1"/>
  <c r="P17" i="6"/>
  <c r="M12" i="1"/>
  <c r="Q17" i="6"/>
  <c r="N12" i="1"/>
  <c r="R17" i="6"/>
  <c r="O12" i="1"/>
  <c r="S17" i="6"/>
  <c r="P12" i="1"/>
  <c r="T17" i="6"/>
  <c r="U17" i="6"/>
  <c r="R12" i="1"/>
  <c r="V17" i="6"/>
  <c r="S12" i="1"/>
  <c r="W17" i="6"/>
  <c r="T12" i="1"/>
  <c r="X17" i="6"/>
  <c r="H17" i="6"/>
  <c r="H18" i="6"/>
  <c r="L19" i="1"/>
  <c r="P24" i="6"/>
  <c r="M19" i="1"/>
  <c r="Q24" i="6"/>
  <c r="N19" i="1"/>
  <c r="R24" i="6"/>
  <c r="O19" i="1"/>
  <c r="S24" i="6"/>
  <c r="P19" i="1"/>
  <c r="T24" i="6"/>
  <c r="U24" i="6"/>
  <c r="R19" i="1"/>
  <c r="V24" i="6"/>
  <c r="S19" i="1"/>
  <c r="W24" i="6"/>
  <c r="T19" i="1"/>
  <c r="X24" i="6"/>
  <c r="H24" i="6"/>
  <c r="L20" i="1"/>
  <c r="P25" i="6"/>
  <c r="M20" i="1"/>
  <c r="Q25" i="6"/>
  <c r="N20" i="1"/>
  <c r="R25" i="6"/>
  <c r="O20" i="1"/>
  <c r="S25" i="6"/>
  <c r="P20" i="1"/>
  <c r="T25" i="6"/>
  <c r="U25" i="6"/>
  <c r="R20" i="1"/>
  <c r="V25" i="6"/>
  <c r="S20" i="1"/>
  <c r="W25" i="6"/>
  <c r="T20" i="1"/>
  <c r="X25" i="6"/>
  <c r="H25" i="6"/>
  <c r="H26" i="6"/>
  <c r="L24" i="1"/>
  <c r="P29" i="6"/>
  <c r="M24" i="1"/>
  <c r="Q29" i="6"/>
  <c r="N24" i="1"/>
  <c r="R29" i="6"/>
  <c r="O24" i="1"/>
  <c r="S29" i="6"/>
  <c r="P24" i="1"/>
  <c r="T29" i="6"/>
  <c r="U29" i="6"/>
  <c r="R24" i="1"/>
  <c r="V29" i="6"/>
  <c r="S24" i="1"/>
  <c r="W29" i="6"/>
  <c r="T24" i="1"/>
  <c r="X29" i="6"/>
  <c r="H29" i="6"/>
  <c r="L25" i="1"/>
  <c r="P30" i="6"/>
  <c r="M25" i="1"/>
  <c r="Q30" i="6"/>
  <c r="N25" i="1"/>
  <c r="R30" i="6"/>
  <c r="O25" i="1"/>
  <c r="S30" i="6"/>
  <c r="P25" i="1"/>
  <c r="T30" i="6"/>
  <c r="U30" i="6"/>
  <c r="R25" i="1"/>
  <c r="V30" i="6"/>
  <c r="S25" i="1"/>
  <c r="W30" i="6"/>
  <c r="T25" i="1"/>
  <c r="X30" i="6"/>
  <c r="H30" i="6"/>
  <c r="H31" i="6"/>
  <c r="L29" i="1"/>
  <c r="P34" i="6"/>
  <c r="M29" i="1"/>
  <c r="Q34" i="6"/>
  <c r="N29" i="1"/>
  <c r="R34" i="6"/>
  <c r="O29" i="1"/>
  <c r="S34" i="6"/>
  <c r="P29" i="1"/>
  <c r="T34" i="6"/>
  <c r="U34" i="6"/>
  <c r="R29" i="1"/>
  <c r="V34" i="6"/>
  <c r="S29" i="1"/>
  <c r="W34" i="6"/>
  <c r="T29" i="1"/>
  <c r="X34" i="6"/>
  <c r="H34" i="6"/>
  <c r="L30" i="1"/>
  <c r="P35" i="6"/>
  <c r="M30" i="1"/>
  <c r="Q35" i="6"/>
  <c r="N30" i="1"/>
  <c r="R35" i="6"/>
  <c r="O30" i="1"/>
  <c r="S35" i="6"/>
  <c r="P30" i="1"/>
  <c r="T35" i="6"/>
  <c r="U35" i="6"/>
  <c r="R30" i="1"/>
  <c r="V35" i="6"/>
  <c r="S30" i="1"/>
  <c r="W35" i="6"/>
  <c r="T30" i="1"/>
  <c r="X35" i="6"/>
  <c r="H35" i="6"/>
  <c r="H36" i="6"/>
  <c r="L35" i="1"/>
  <c r="P40" i="6"/>
  <c r="M35" i="1"/>
  <c r="Q40" i="6"/>
  <c r="N35" i="1"/>
  <c r="R40" i="6"/>
  <c r="O35" i="1"/>
  <c r="S40" i="6"/>
  <c r="P35" i="1"/>
  <c r="T40" i="6"/>
  <c r="U40" i="6"/>
  <c r="R35" i="1"/>
  <c r="V40" i="6"/>
  <c r="S35" i="1"/>
  <c r="W40" i="6"/>
  <c r="T35" i="1"/>
  <c r="X40" i="6"/>
  <c r="H40" i="6"/>
  <c r="L37" i="1"/>
  <c r="P42" i="6"/>
  <c r="M37" i="1"/>
  <c r="Q42" i="6"/>
  <c r="N37" i="1"/>
  <c r="R42" i="6"/>
  <c r="O37" i="1"/>
  <c r="S42" i="6"/>
  <c r="P37" i="1"/>
  <c r="T42" i="6"/>
  <c r="U42" i="6"/>
  <c r="R37" i="1"/>
  <c r="V42" i="6"/>
  <c r="S37" i="1"/>
  <c r="W42" i="6"/>
  <c r="T37" i="1"/>
  <c r="X42" i="6"/>
  <c r="H42" i="6"/>
  <c r="L38" i="1"/>
  <c r="P43" i="6"/>
  <c r="M38" i="1"/>
  <c r="Q43" i="6"/>
  <c r="N38" i="1"/>
  <c r="R43" i="6"/>
  <c r="O38" i="1"/>
  <c r="S43" i="6"/>
  <c r="P38" i="1"/>
  <c r="T43" i="6"/>
  <c r="U43" i="6"/>
  <c r="R38" i="1"/>
  <c r="V43" i="6"/>
  <c r="S38" i="1"/>
  <c r="W43" i="6"/>
  <c r="T38" i="1"/>
  <c r="X43" i="6"/>
  <c r="H43" i="6"/>
  <c r="L39" i="1"/>
  <c r="P44" i="6"/>
  <c r="M39" i="1"/>
  <c r="Q44" i="6"/>
  <c r="N39" i="1"/>
  <c r="R44" i="6"/>
  <c r="O39" i="1"/>
  <c r="S44" i="6"/>
  <c r="P39" i="1"/>
  <c r="T44" i="6"/>
  <c r="U44" i="6"/>
  <c r="R39" i="1"/>
  <c r="V44" i="6"/>
  <c r="S39" i="1"/>
  <c r="W44" i="6"/>
  <c r="T39" i="1"/>
  <c r="X44" i="6"/>
  <c r="H44" i="6"/>
  <c r="L40" i="1"/>
  <c r="P45" i="6"/>
  <c r="M40" i="1"/>
  <c r="Q45" i="6"/>
  <c r="N40" i="1"/>
  <c r="R45" i="6"/>
  <c r="O40" i="1"/>
  <c r="S45" i="6"/>
  <c r="P40" i="1"/>
  <c r="T45" i="6"/>
  <c r="U45" i="6"/>
  <c r="R40" i="1"/>
  <c r="V45" i="6"/>
  <c r="S40" i="1"/>
  <c r="W45" i="6"/>
  <c r="T40" i="1"/>
  <c r="X45" i="6"/>
  <c r="H45" i="6"/>
  <c r="H46" i="6"/>
  <c r="L44" i="1"/>
  <c r="P49" i="6"/>
  <c r="M44" i="1"/>
  <c r="Q49" i="6"/>
  <c r="N44" i="1"/>
  <c r="R49" i="6"/>
  <c r="O44" i="1"/>
  <c r="S49" i="6"/>
  <c r="P44" i="1"/>
  <c r="T49" i="6"/>
  <c r="U49" i="6"/>
  <c r="R44" i="1"/>
  <c r="V49" i="6"/>
  <c r="S44" i="1"/>
  <c r="W49" i="6"/>
  <c r="T44" i="1"/>
  <c r="X49" i="6"/>
  <c r="H49" i="6"/>
  <c r="L47" i="1"/>
  <c r="P52" i="6"/>
  <c r="M47" i="1"/>
  <c r="Q52" i="6"/>
  <c r="N47" i="1"/>
  <c r="R52" i="6"/>
  <c r="O47" i="1"/>
  <c r="S52" i="6"/>
  <c r="P47" i="1"/>
  <c r="T52" i="6"/>
  <c r="U52" i="6"/>
  <c r="R47" i="1"/>
  <c r="V52" i="6"/>
  <c r="S47" i="1"/>
  <c r="W52" i="6"/>
  <c r="T47" i="1"/>
  <c r="X52" i="6"/>
  <c r="H52" i="6"/>
  <c r="L50" i="1"/>
  <c r="P55" i="6"/>
  <c r="M50" i="1"/>
  <c r="Q55" i="6"/>
  <c r="N50" i="1"/>
  <c r="R55" i="6"/>
  <c r="O50" i="1"/>
  <c r="S55" i="6"/>
  <c r="P50" i="1"/>
  <c r="T55" i="6"/>
  <c r="U55" i="6"/>
  <c r="R50" i="1"/>
  <c r="V55" i="6"/>
  <c r="S50" i="1"/>
  <c r="W55" i="6"/>
  <c r="T50" i="1"/>
  <c r="X55" i="6"/>
  <c r="H55" i="6"/>
  <c r="L51" i="1"/>
  <c r="P56" i="6"/>
  <c r="M51" i="1"/>
  <c r="Q56" i="6"/>
  <c r="N51" i="1"/>
  <c r="R56" i="6"/>
  <c r="O51" i="1"/>
  <c r="S56" i="6"/>
  <c r="P51" i="1"/>
  <c r="T56" i="6"/>
  <c r="U56" i="6"/>
  <c r="R51" i="1"/>
  <c r="V56" i="6"/>
  <c r="S51" i="1"/>
  <c r="W56" i="6"/>
  <c r="T51" i="1"/>
  <c r="X56" i="6"/>
  <c r="H56" i="6"/>
  <c r="L52" i="1"/>
  <c r="P57" i="6"/>
  <c r="M52" i="1"/>
  <c r="Q57" i="6"/>
  <c r="N52" i="1"/>
  <c r="R57" i="6"/>
  <c r="O52" i="1"/>
  <c r="S57" i="6"/>
  <c r="P52" i="1"/>
  <c r="T57" i="6"/>
  <c r="U57" i="6"/>
  <c r="R52" i="1"/>
  <c r="V57" i="6"/>
  <c r="S52" i="1"/>
  <c r="W57" i="6"/>
  <c r="T52" i="1"/>
  <c r="X57" i="6"/>
  <c r="H57" i="6"/>
  <c r="H58" i="6"/>
  <c r="H60" i="6"/>
  <c r="G19" i="9"/>
  <c r="G27" i="9"/>
  <c r="G32" i="9"/>
  <c r="G37" i="9"/>
  <c r="G47" i="9"/>
  <c r="G59" i="9"/>
  <c r="G61" i="9"/>
  <c r="P125" i="9"/>
  <c r="Q125" i="9"/>
  <c r="R125" i="9"/>
  <c r="S125" i="9"/>
  <c r="T125" i="9"/>
  <c r="U125" i="9"/>
  <c r="V125" i="9"/>
  <c r="W125" i="9"/>
  <c r="X125" i="9"/>
  <c r="H125" i="9"/>
  <c r="P126" i="9"/>
  <c r="Q126" i="9"/>
  <c r="R126" i="9"/>
  <c r="S126" i="9"/>
  <c r="T126" i="9"/>
  <c r="U126" i="9"/>
  <c r="V126" i="9"/>
  <c r="W126" i="9"/>
  <c r="X126" i="9"/>
  <c r="H126" i="9"/>
  <c r="P127" i="9"/>
  <c r="Q127" i="9"/>
  <c r="R127" i="9"/>
  <c r="S127" i="9"/>
  <c r="T127" i="9"/>
  <c r="U127" i="9"/>
  <c r="V127" i="9"/>
  <c r="W127" i="9"/>
  <c r="X127" i="9"/>
  <c r="H127" i="9"/>
  <c r="P128" i="9"/>
  <c r="Q128" i="9"/>
  <c r="R128" i="9"/>
  <c r="S128" i="9"/>
  <c r="T128" i="9"/>
  <c r="U128" i="9"/>
  <c r="V128" i="9"/>
  <c r="W128" i="9"/>
  <c r="X128" i="9"/>
  <c r="H128" i="9"/>
  <c r="H129" i="9"/>
  <c r="P133" i="9"/>
  <c r="Q133" i="9"/>
  <c r="R133" i="9"/>
  <c r="S133" i="9"/>
  <c r="T133" i="9"/>
  <c r="U133" i="9"/>
  <c r="V133" i="9"/>
  <c r="W133" i="9"/>
  <c r="X133" i="9"/>
  <c r="H133" i="9"/>
  <c r="P134" i="9"/>
  <c r="Q134" i="9"/>
  <c r="R134" i="9"/>
  <c r="S134" i="9"/>
  <c r="T134" i="9"/>
  <c r="U134" i="9"/>
  <c r="V134" i="9"/>
  <c r="W134" i="9"/>
  <c r="X134" i="9"/>
  <c r="H134" i="9"/>
  <c r="P135" i="9"/>
  <c r="Q135" i="9"/>
  <c r="R135" i="9"/>
  <c r="S135" i="9"/>
  <c r="T135" i="9"/>
  <c r="U135" i="9"/>
  <c r="V135" i="9"/>
  <c r="W135" i="9"/>
  <c r="X135" i="9"/>
  <c r="H135" i="9"/>
  <c r="P136" i="9"/>
  <c r="Q136" i="9"/>
  <c r="R136" i="9"/>
  <c r="S136" i="9"/>
  <c r="T136" i="9"/>
  <c r="U136" i="9"/>
  <c r="V136" i="9"/>
  <c r="W136" i="9"/>
  <c r="X136" i="9"/>
  <c r="H136" i="9"/>
  <c r="H137" i="9"/>
  <c r="P140" i="9"/>
  <c r="Q140" i="9"/>
  <c r="R140" i="9"/>
  <c r="S140" i="9"/>
  <c r="T140" i="9"/>
  <c r="U140" i="9"/>
  <c r="V140" i="9"/>
  <c r="W140" i="9"/>
  <c r="X140" i="9"/>
  <c r="H140" i="9"/>
  <c r="P141" i="9"/>
  <c r="Q141" i="9"/>
  <c r="R141" i="9"/>
  <c r="S141" i="9"/>
  <c r="T141" i="9"/>
  <c r="U141" i="9"/>
  <c r="V141" i="9"/>
  <c r="W141" i="9"/>
  <c r="X141" i="9"/>
  <c r="H141" i="9"/>
  <c r="H142" i="9"/>
  <c r="P145" i="9"/>
  <c r="Q145" i="9"/>
  <c r="R145" i="9"/>
  <c r="S145" i="9"/>
  <c r="T145" i="9"/>
  <c r="U145" i="9"/>
  <c r="V145" i="9"/>
  <c r="W145" i="9"/>
  <c r="X145" i="9"/>
  <c r="H145" i="9"/>
  <c r="P146" i="9"/>
  <c r="Q146" i="9"/>
  <c r="R146" i="9"/>
  <c r="S146" i="9"/>
  <c r="T146" i="9"/>
  <c r="U146" i="9"/>
  <c r="V146" i="9"/>
  <c r="W146" i="9"/>
  <c r="X146" i="9"/>
  <c r="H146" i="9"/>
  <c r="H147" i="9"/>
  <c r="P151" i="9"/>
  <c r="Q151" i="9"/>
  <c r="R151" i="9"/>
  <c r="S151" i="9"/>
  <c r="T151" i="9"/>
  <c r="U151" i="9"/>
  <c r="V151" i="9"/>
  <c r="W151" i="9"/>
  <c r="X151" i="9"/>
  <c r="H151" i="9"/>
  <c r="P153" i="9"/>
  <c r="Q153" i="9"/>
  <c r="R153" i="9"/>
  <c r="S153" i="9"/>
  <c r="T153" i="9"/>
  <c r="U153" i="9"/>
  <c r="V153" i="9"/>
  <c r="W153" i="9"/>
  <c r="X153" i="9"/>
  <c r="H153" i="9"/>
  <c r="P154" i="9"/>
  <c r="Q154" i="9"/>
  <c r="R154" i="9"/>
  <c r="S154" i="9"/>
  <c r="T154" i="9"/>
  <c r="U154" i="9"/>
  <c r="V154" i="9"/>
  <c r="W154" i="9"/>
  <c r="X154" i="9"/>
  <c r="H154" i="9"/>
  <c r="P155" i="9"/>
  <c r="Q155" i="9"/>
  <c r="R155" i="9"/>
  <c r="S155" i="9"/>
  <c r="T155" i="9"/>
  <c r="U155" i="9"/>
  <c r="V155" i="9"/>
  <c r="W155" i="9"/>
  <c r="X155" i="9"/>
  <c r="H155" i="9"/>
  <c r="P156" i="9"/>
  <c r="Q156" i="9"/>
  <c r="R156" i="9"/>
  <c r="S156" i="9"/>
  <c r="T156" i="9"/>
  <c r="U156" i="9"/>
  <c r="V156" i="9"/>
  <c r="W156" i="9"/>
  <c r="X156" i="9"/>
  <c r="H156" i="9"/>
  <c r="H157" i="9"/>
  <c r="P160" i="9"/>
  <c r="Q160" i="9"/>
  <c r="R160" i="9"/>
  <c r="S160" i="9"/>
  <c r="T160" i="9"/>
  <c r="U160" i="9"/>
  <c r="V160" i="9"/>
  <c r="W160" i="9"/>
  <c r="X160" i="9"/>
  <c r="H160" i="9"/>
  <c r="P163" i="9"/>
  <c r="Q163" i="9"/>
  <c r="R163" i="9"/>
  <c r="S163" i="9"/>
  <c r="T163" i="9"/>
  <c r="U163" i="9"/>
  <c r="V163" i="9"/>
  <c r="W163" i="9"/>
  <c r="X163" i="9"/>
  <c r="H163" i="9"/>
  <c r="P166" i="9"/>
  <c r="Q166" i="9"/>
  <c r="R166" i="9"/>
  <c r="S166" i="9"/>
  <c r="T166" i="9"/>
  <c r="U166" i="9"/>
  <c r="V166" i="9"/>
  <c r="W166" i="9"/>
  <c r="X166" i="9"/>
  <c r="H166" i="9"/>
  <c r="P167" i="9"/>
  <c r="Q167" i="9"/>
  <c r="R167" i="9"/>
  <c r="S167" i="9"/>
  <c r="T167" i="9"/>
  <c r="U167" i="9"/>
  <c r="V167" i="9"/>
  <c r="W167" i="9"/>
  <c r="X167" i="9"/>
  <c r="H167" i="9"/>
  <c r="P168" i="9"/>
  <c r="Q168" i="9"/>
  <c r="R168" i="9"/>
  <c r="S168" i="9"/>
  <c r="T168" i="9"/>
  <c r="U168" i="9"/>
  <c r="V168" i="9"/>
  <c r="W168" i="9"/>
  <c r="X168" i="9"/>
  <c r="H168" i="9"/>
  <c r="H169" i="9"/>
  <c r="H171" i="9"/>
  <c r="I171" i="9"/>
  <c r="I169" i="9"/>
  <c r="I168" i="9"/>
  <c r="I167" i="9"/>
  <c r="I166" i="9"/>
  <c r="I163" i="9"/>
  <c r="I160" i="9"/>
  <c r="I157" i="9"/>
  <c r="I156" i="9"/>
  <c r="I155" i="9"/>
  <c r="I154" i="9"/>
  <c r="I153" i="9"/>
  <c r="I151" i="9"/>
  <c r="I147" i="9"/>
  <c r="I146" i="9"/>
  <c r="I145" i="9"/>
  <c r="I142" i="9"/>
  <c r="I141" i="9"/>
  <c r="I140" i="9"/>
  <c r="I137" i="9"/>
  <c r="I136" i="9"/>
  <c r="I135" i="9"/>
  <c r="I134" i="9"/>
  <c r="I133" i="9"/>
  <c r="I129" i="9"/>
  <c r="I128" i="9"/>
  <c r="I127" i="9"/>
  <c r="I126" i="9"/>
  <c r="I125" i="9"/>
  <c r="V70" i="9"/>
  <c r="W70" i="9"/>
  <c r="X70" i="9"/>
  <c r="H70" i="9"/>
  <c r="V71" i="9"/>
  <c r="W71" i="9"/>
  <c r="X71" i="9"/>
  <c r="H71" i="9"/>
  <c r="V72" i="9"/>
  <c r="W72" i="9"/>
  <c r="X72" i="9"/>
  <c r="H72" i="9"/>
  <c r="V73" i="9"/>
  <c r="W73" i="9"/>
  <c r="X73" i="9"/>
  <c r="H73" i="9"/>
  <c r="H74" i="9"/>
  <c r="V78" i="9"/>
  <c r="W78" i="9"/>
  <c r="X78" i="9"/>
  <c r="H78" i="9"/>
  <c r="V79" i="9"/>
  <c r="W79" i="9"/>
  <c r="X79" i="9"/>
  <c r="H79" i="9"/>
  <c r="V80" i="9"/>
  <c r="W80" i="9"/>
  <c r="X80" i="9"/>
  <c r="H80" i="9"/>
  <c r="V81" i="9"/>
  <c r="W81" i="9"/>
  <c r="X81" i="9"/>
  <c r="H81" i="9"/>
  <c r="H82" i="9"/>
  <c r="V85" i="9"/>
  <c r="W85" i="9"/>
  <c r="X85" i="9"/>
  <c r="H85" i="9"/>
  <c r="V86" i="9"/>
  <c r="W86" i="9"/>
  <c r="X86" i="9"/>
  <c r="H86" i="9"/>
  <c r="H87" i="9"/>
  <c r="V90" i="9"/>
  <c r="W90" i="9"/>
  <c r="X90" i="9"/>
  <c r="H90" i="9"/>
  <c r="V91" i="9"/>
  <c r="W91" i="9"/>
  <c r="X91" i="9"/>
  <c r="H91" i="9"/>
  <c r="H92" i="9"/>
  <c r="V96" i="9"/>
  <c r="W96" i="9"/>
  <c r="X96" i="9"/>
  <c r="H96" i="9"/>
  <c r="V98" i="9"/>
  <c r="W98" i="9"/>
  <c r="X98" i="9"/>
  <c r="H98" i="9"/>
  <c r="V99" i="9"/>
  <c r="W99" i="9"/>
  <c r="X99" i="9"/>
  <c r="H99" i="9"/>
  <c r="V100" i="9"/>
  <c r="W100" i="9"/>
  <c r="X100" i="9"/>
  <c r="H100" i="9"/>
  <c r="V101" i="9"/>
  <c r="W101" i="9"/>
  <c r="X101" i="9"/>
  <c r="H101" i="9"/>
  <c r="H102" i="9"/>
  <c r="V105" i="9"/>
  <c r="W105" i="9"/>
  <c r="X105" i="9"/>
  <c r="H105" i="9"/>
  <c r="V108" i="9"/>
  <c r="W108" i="9"/>
  <c r="X108" i="9"/>
  <c r="H108" i="9"/>
  <c r="V111" i="9"/>
  <c r="W111" i="9"/>
  <c r="X111" i="9"/>
  <c r="H111" i="9"/>
  <c r="V112" i="9"/>
  <c r="W112" i="9"/>
  <c r="X112" i="9"/>
  <c r="H112" i="9"/>
  <c r="V113" i="9"/>
  <c r="W113" i="9"/>
  <c r="X113" i="9"/>
  <c r="H113" i="9"/>
  <c r="H114" i="9"/>
  <c r="H116" i="9"/>
  <c r="I116" i="9"/>
  <c r="I114" i="9"/>
  <c r="I113" i="9"/>
  <c r="I112" i="9"/>
  <c r="I111" i="9"/>
  <c r="I108" i="9"/>
  <c r="I105" i="9"/>
  <c r="I102" i="9"/>
  <c r="I101" i="9"/>
  <c r="I100" i="9"/>
  <c r="I99" i="9"/>
  <c r="I98" i="9"/>
  <c r="I96" i="9"/>
  <c r="I92" i="9"/>
  <c r="I91" i="9"/>
  <c r="I90" i="9"/>
  <c r="I87" i="9"/>
  <c r="I86" i="9"/>
  <c r="I85" i="9"/>
  <c r="I82" i="9"/>
  <c r="I81" i="9"/>
  <c r="I80" i="9"/>
  <c r="I79" i="9"/>
  <c r="I78" i="9"/>
  <c r="I74" i="9"/>
  <c r="I73" i="9"/>
  <c r="I72" i="9"/>
  <c r="I71" i="9"/>
  <c r="I70" i="9"/>
  <c r="P124" i="6"/>
  <c r="Q124" i="6"/>
  <c r="R124" i="6"/>
  <c r="S124" i="6"/>
  <c r="T124" i="6"/>
  <c r="U124" i="6"/>
  <c r="V124" i="6"/>
  <c r="W124" i="6"/>
  <c r="X124" i="6"/>
  <c r="H124" i="6"/>
  <c r="P125" i="6"/>
  <c r="Q125" i="6"/>
  <c r="R125" i="6"/>
  <c r="S125" i="6"/>
  <c r="T125" i="6"/>
  <c r="U125" i="6"/>
  <c r="V125" i="6"/>
  <c r="W125" i="6"/>
  <c r="X125" i="6"/>
  <c r="H125" i="6"/>
  <c r="P126" i="6"/>
  <c r="Q126" i="6"/>
  <c r="R126" i="6"/>
  <c r="S126" i="6"/>
  <c r="T126" i="6"/>
  <c r="U126" i="6"/>
  <c r="V126" i="6"/>
  <c r="W126" i="6"/>
  <c r="X126" i="6"/>
  <c r="H126" i="6"/>
  <c r="P127" i="6"/>
  <c r="Q127" i="6"/>
  <c r="R127" i="6"/>
  <c r="S127" i="6"/>
  <c r="T127" i="6"/>
  <c r="U127" i="6"/>
  <c r="V127" i="6"/>
  <c r="W127" i="6"/>
  <c r="X127" i="6"/>
  <c r="H127" i="6"/>
  <c r="H128" i="6"/>
  <c r="P132" i="6"/>
  <c r="Q132" i="6"/>
  <c r="R132" i="6"/>
  <c r="S132" i="6"/>
  <c r="T132" i="6"/>
  <c r="U132" i="6"/>
  <c r="V132" i="6"/>
  <c r="W132" i="6"/>
  <c r="X132" i="6"/>
  <c r="H132" i="6"/>
  <c r="P133" i="6"/>
  <c r="Q133" i="6"/>
  <c r="R133" i="6"/>
  <c r="S133" i="6"/>
  <c r="T133" i="6"/>
  <c r="U133" i="6"/>
  <c r="V133" i="6"/>
  <c r="W133" i="6"/>
  <c r="X133" i="6"/>
  <c r="H133" i="6"/>
  <c r="P134" i="6"/>
  <c r="Q134" i="6"/>
  <c r="R134" i="6"/>
  <c r="S134" i="6"/>
  <c r="T134" i="6"/>
  <c r="U134" i="6"/>
  <c r="V134" i="6"/>
  <c r="W134" i="6"/>
  <c r="X134" i="6"/>
  <c r="H134" i="6"/>
  <c r="P135" i="6"/>
  <c r="Q135" i="6"/>
  <c r="R135" i="6"/>
  <c r="S135" i="6"/>
  <c r="T135" i="6"/>
  <c r="U135" i="6"/>
  <c r="V135" i="6"/>
  <c r="W135" i="6"/>
  <c r="X135" i="6"/>
  <c r="H135" i="6"/>
  <c r="H136" i="6"/>
  <c r="P139" i="6"/>
  <c r="Q139" i="6"/>
  <c r="R139" i="6"/>
  <c r="S139" i="6"/>
  <c r="T139" i="6"/>
  <c r="U139" i="6"/>
  <c r="V139" i="6"/>
  <c r="W139" i="6"/>
  <c r="X139" i="6"/>
  <c r="H139" i="6"/>
  <c r="P140" i="6"/>
  <c r="Q140" i="6"/>
  <c r="R140" i="6"/>
  <c r="S140" i="6"/>
  <c r="T140" i="6"/>
  <c r="U140" i="6"/>
  <c r="V140" i="6"/>
  <c r="W140" i="6"/>
  <c r="X140" i="6"/>
  <c r="H140" i="6"/>
  <c r="H141" i="6"/>
  <c r="P144" i="6"/>
  <c r="Q144" i="6"/>
  <c r="R144" i="6"/>
  <c r="S144" i="6"/>
  <c r="T144" i="6"/>
  <c r="U144" i="6"/>
  <c r="V144" i="6"/>
  <c r="W144" i="6"/>
  <c r="X144" i="6"/>
  <c r="H144" i="6"/>
  <c r="P145" i="6"/>
  <c r="Q145" i="6"/>
  <c r="R145" i="6"/>
  <c r="S145" i="6"/>
  <c r="T145" i="6"/>
  <c r="U145" i="6"/>
  <c r="V145" i="6"/>
  <c r="W145" i="6"/>
  <c r="X145" i="6"/>
  <c r="H145" i="6"/>
  <c r="H146" i="6"/>
  <c r="P150" i="6"/>
  <c r="Q150" i="6"/>
  <c r="R150" i="6"/>
  <c r="S150" i="6"/>
  <c r="T150" i="6"/>
  <c r="U150" i="6"/>
  <c r="V150" i="6"/>
  <c r="W150" i="6"/>
  <c r="X150" i="6"/>
  <c r="H150" i="6"/>
  <c r="P152" i="6"/>
  <c r="Q152" i="6"/>
  <c r="R152" i="6"/>
  <c r="S152" i="6"/>
  <c r="T152" i="6"/>
  <c r="U152" i="6"/>
  <c r="V152" i="6"/>
  <c r="W152" i="6"/>
  <c r="X152" i="6"/>
  <c r="H152" i="6"/>
  <c r="P153" i="6"/>
  <c r="Q153" i="6"/>
  <c r="R153" i="6"/>
  <c r="S153" i="6"/>
  <c r="T153" i="6"/>
  <c r="U153" i="6"/>
  <c r="V153" i="6"/>
  <c r="W153" i="6"/>
  <c r="X153" i="6"/>
  <c r="H153" i="6"/>
  <c r="P154" i="6"/>
  <c r="Q154" i="6"/>
  <c r="R154" i="6"/>
  <c r="S154" i="6"/>
  <c r="T154" i="6"/>
  <c r="U154" i="6"/>
  <c r="V154" i="6"/>
  <c r="W154" i="6"/>
  <c r="X154" i="6"/>
  <c r="H154" i="6"/>
  <c r="P155" i="6"/>
  <c r="Q155" i="6"/>
  <c r="R155" i="6"/>
  <c r="S155" i="6"/>
  <c r="T155" i="6"/>
  <c r="U155" i="6"/>
  <c r="V155" i="6"/>
  <c r="W155" i="6"/>
  <c r="X155" i="6"/>
  <c r="H155" i="6"/>
  <c r="H156" i="6"/>
  <c r="P159" i="6"/>
  <c r="Q159" i="6"/>
  <c r="R159" i="6"/>
  <c r="S159" i="6"/>
  <c r="T159" i="6"/>
  <c r="U159" i="6"/>
  <c r="V159" i="6"/>
  <c r="W159" i="6"/>
  <c r="X159" i="6"/>
  <c r="H159" i="6"/>
  <c r="P162" i="6"/>
  <c r="Q162" i="6"/>
  <c r="R162" i="6"/>
  <c r="S162" i="6"/>
  <c r="T162" i="6"/>
  <c r="U162" i="6"/>
  <c r="V162" i="6"/>
  <c r="W162" i="6"/>
  <c r="X162" i="6"/>
  <c r="H162" i="6"/>
  <c r="P165" i="6"/>
  <c r="Q165" i="6"/>
  <c r="R165" i="6"/>
  <c r="S165" i="6"/>
  <c r="T165" i="6"/>
  <c r="U165" i="6"/>
  <c r="V165" i="6"/>
  <c r="W165" i="6"/>
  <c r="X165" i="6"/>
  <c r="H165" i="6"/>
  <c r="P166" i="6"/>
  <c r="Q166" i="6"/>
  <c r="R166" i="6"/>
  <c r="S166" i="6"/>
  <c r="T166" i="6"/>
  <c r="U166" i="6"/>
  <c r="V166" i="6"/>
  <c r="W166" i="6"/>
  <c r="X166" i="6"/>
  <c r="H166" i="6"/>
  <c r="P167" i="6"/>
  <c r="Q167" i="6"/>
  <c r="R167" i="6"/>
  <c r="S167" i="6"/>
  <c r="T167" i="6"/>
  <c r="U167" i="6"/>
  <c r="V167" i="6"/>
  <c r="W167" i="6"/>
  <c r="X167" i="6"/>
  <c r="H167" i="6"/>
  <c r="H168" i="6"/>
  <c r="H170" i="6"/>
  <c r="I170" i="6"/>
  <c r="I168" i="6"/>
  <c r="I167" i="6"/>
  <c r="I166" i="6"/>
  <c r="I165" i="6"/>
  <c r="I162" i="6"/>
  <c r="I159" i="6"/>
  <c r="I156" i="6"/>
  <c r="I155" i="6"/>
  <c r="I154" i="6"/>
  <c r="I153" i="6"/>
  <c r="I152" i="6"/>
  <c r="I150" i="6"/>
  <c r="I146" i="6"/>
  <c r="I145" i="6"/>
  <c r="I144" i="6"/>
  <c r="I141" i="6"/>
  <c r="I140" i="6"/>
  <c r="I139" i="6"/>
  <c r="I136" i="6"/>
  <c r="I135" i="6"/>
  <c r="I134" i="6"/>
  <c r="I133" i="6"/>
  <c r="I132" i="6"/>
  <c r="I128" i="6"/>
  <c r="I127" i="6"/>
  <c r="I126" i="6"/>
  <c r="I125" i="6"/>
  <c r="I124" i="6"/>
  <c r="P69" i="6"/>
  <c r="Q69" i="6"/>
  <c r="R69" i="6"/>
  <c r="S69" i="6"/>
  <c r="T69" i="6"/>
  <c r="U69" i="6"/>
  <c r="V69" i="6"/>
  <c r="W69" i="6"/>
  <c r="X69" i="6"/>
  <c r="H69" i="6"/>
  <c r="P70" i="6"/>
  <c r="Q70" i="6"/>
  <c r="R70" i="6"/>
  <c r="S70" i="6"/>
  <c r="T70" i="6"/>
  <c r="U70" i="6"/>
  <c r="V70" i="6"/>
  <c r="W70" i="6"/>
  <c r="X70" i="6"/>
  <c r="H70" i="6"/>
  <c r="P71" i="6"/>
  <c r="Q71" i="6"/>
  <c r="R71" i="6"/>
  <c r="S71" i="6"/>
  <c r="T71" i="6"/>
  <c r="U71" i="6"/>
  <c r="V71" i="6"/>
  <c r="W71" i="6"/>
  <c r="X71" i="6"/>
  <c r="H71" i="6"/>
  <c r="P72" i="6"/>
  <c r="Q72" i="6"/>
  <c r="R72" i="6"/>
  <c r="S72" i="6"/>
  <c r="T72" i="6"/>
  <c r="U72" i="6"/>
  <c r="V72" i="6"/>
  <c r="W72" i="6"/>
  <c r="X72" i="6"/>
  <c r="H72" i="6"/>
  <c r="H73" i="6"/>
  <c r="P77" i="6"/>
  <c r="Q77" i="6"/>
  <c r="R77" i="6"/>
  <c r="S77" i="6"/>
  <c r="T77" i="6"/>
  <c r="U77" i="6"/>
  <c r="V77" i="6"/>
  <c r="W77" i="6"/>
  <c r="X77" i="6"/>
  <c r="H77" i="6"/>
  <c r="P78" i="6"/>
  <c r="Q78" i="6"/>
  <c r="R78" i="6"/>
  <c r="S78" i="6"/>
  <c r="T78" i="6"/>
  <c r="U78" i="6"/>
  <c r="V78" i="6"/>
  <c r="W78" i="6"/>
  <c r="X78" i="6"/>
  <c r="H78" i="6"/>
  <c r="P79" i="6"/>
  <c r="Q79" i="6"/>
  <c r="R79" i="6"/>
  <c r="S79" i="6"/>
  <c r="T79" i="6"/>
  <c r="U79" i="6"/>
  <c r="V79" i="6"/>
  <c r="W79" i="6"/>
  <c r="X79" i="6"/>
  <c r="H79" i="6"/>
  <c r="P80" i="6"/>
  <c r="Q80" i="6"/>
  <c r="R80" i="6"/>
  <c r="S80" i="6"/>
  <c r="T80" i="6"/>
  <c r="U80" i="6"/>
  <c r="V80" i="6"/>
  <c r="W80" i="6"/>
  <c r="X80" i="6"/>
  <c r="H80" i="6"/>
  <c r="H81" i="6"/>
  <c r="P84" i="6"/>
  <c r="Q84" i="6"/>
  <c r="R84" i="6"/>
  <c r="S84" i="6"/>
  <c r="T84" i="6"/>
  <c r="U84" i="6"/>
  <c r="V84" i="6"/>
  <c r="W84" i="6"/>
  <c r="X84" i="6"/>
  <c r="H84" i="6"/>
  <c r="P85" i="6"/>
  <c r="Q85" i="6"/>
  <c r="R85" i="6"/>
  <c r="S85" i="6"/>
  <c r="T85" i="6"/>
  <c r="U85" i="6"/>
  <c r="V85" i="6"/>
  <c r="W85" i="6"/>
  <c r="X85" i="6"/>
  <c r="H85" i="6"/>
  <c r="H86" i="6"/>
  <c r="P89" i="6"/>
  <c r="Q89" i="6"/>
  <c r="R89" i="6"/>
  <c r="S89" i="6"/>
  <c r="T89" i="6"/>
  <c r="U89" i="6"/>
  <c r="V89" i="6"/>
  <c r="W89" i="6"/>
  <c r="X89" i="6"/>
  <c r="H89" i="6"/>
  <c r="P90" i="6"/>
  <c r="Q90" i="6"/>
  <c r="R90" i="6"/>
  <c r="S90" i="6"/>
  <c r="T90" i="6"/>
  <c r="U90" i="6"/>
  <c r="V90" i="6"/>
  <c r="W90" i="6"/>
  <c r="X90" i="6"/>
  <c r="H90" i="6"/>
  <c r="H91" i="6"/>
  <c r="P95" i="6"/>
  <c r="Q95" i="6"/>
  <c r="R95" i="6"/>
  <c r="S95" i="6"/>
  <c r="T95" i="6"/>
  <c r="U95" i="6"/>
  <c r="V95" i="6"/>
  <c r="W95" i="6"/>
  <c r="X95" i="6"/>
  <c r="H95" i="6"/>
  <c r="P97" i="6"/>
  <c r="Q97" i="6"/>
  <c r="R97" i="6"/>
  <c r="S97" i="6"/>
  <c r="T97" i="6"/>
  <c r="U97" i="6"/>
  <c r="V97" i="6"/>
  <c r="W97" i="6"/>
  <c r="X97" i="6"/>
  <c r="H97" i="6"/>
  <c r="P98" i="6"/>
  <c r="Q98" i="6"/>
  <c r="R98" i="6"/>
  <c r="S98" i="6"/>
  <c r="T98" i="6"/>
  <c r="U98" i="6"/>
  <c r="V98" i="6"/>
  <c r="W98" i="6"/>
  <c r="X98" i="6"/>
  <c r="H98" i="6"/>
  <c r="P99" i="6"/>
  <c r="Q99" i="6"/>
  <c r="R99" i="6"/>
  <c r="S99" i="6"/>
  <c r="T99" i="6"/>
  <c r="U99" i="6"/>
  <c r="V99" i="6"/>
  <c r="W99" i="6"/>
  <c r="X99" i="6"/>
  <c r="H99" i="6"/>
  <c r="P100" i="6"/>
  <c r="Q100" i="6"/>
  <c r="R100" i="6"/>
  <c r="S100" i="6"/>
  <c r="T100" i="6"/>
  <c r="U100" i="6"/>
  <c r="V100" i="6"/>
  <c r="W100" i="6"/>
  <c r="X100" i="6"/>
  <c r="H100" i="6"/>
  <c r="H101" i="6"/>
  <c r="P104" i="6"/>
  <c r="Q104" i="6"/>
  <c r="R104" i="6"/>
  <c r="S104" i="6"/>
  <c r="T104" i="6"/>
  <c r="U104" i="6"/>
  <c r="V104" i="6"/>
  <c r="W104" i="6"/>
  <c r="X104" i="6"/>
  <c r="H104" i="6"/>
  <c r="P107" i="6"/>
  <c r="Q107" i="6"/>
  <c r="R107" i="6"/>
  <c r="S107" i="6"/>
  <c r="T107" i="6"/>
  <c r="U107" i="6"/>
  <c r="V107" i="6"/>
  <c r="W107" i="6"/>
  <c r="X107" i="6"/>
  <c r="H107" i="6"/>
  <c r="P110" i="6"/>
  <c r="Q110" i="6"/>
  <c r="R110" i="6"/>
  <c r="S110" i="6"/>
  <c r="T110" i="6"/>
  <c r="U110" i="6"/>
  <c r="V110" i="6"/>
  <c r="W110" i="6"/>
  <c r="X110" i="6"/>
  <c r="H110" i="6"/>
  <c r="P111" i="6"/>
  <c r="Q111" i="6"/>
  <c r="R111" i="6"/>
  <c r="S111" i="6"/>
  <c r="T111" i="6"/>
  <c r="U111" i="6"/>
  <c r="V111" i="6"/>
  <c r="W111" i="6"/>
  <c r="X111" i="6"/>
  <c r="H111" i="6"/>
  <c r="P112" i="6"/>
  <c r="Q112" i="6"/>
  <c r="R112" i="6"/>
  <c r="S112" i="6"/>
  <c r="T112" i="6"/>
  <c r="U112" i="6"/>
  <c r="V112" i="6"/>
  <c r="W112" i="6"/>
  <c r="X112" i="6"/>
  <c r="H112" i="6"/>
  <c r="H113" i="6"/>
  <c r="H115" i="6"/>
  <c r="I115" i="6"/>
  <c r="I113" i="6"/>
  <c r="I112" i="6"/>
  <c r="I111" i="6"/>
  <c r="I110" i="6"/>
  <c r="I107" i="6"/>
  <c r="I104" i="6"/>
  <c r="I95" i="6"/>
  <c r="I101" i="6"/>
  <c r="I100" i="6"/>
  <c r="I99" i="6"/>
  <c r="I98" i="6"/>
  <c r="I97" i="6"/>
  <c r="I91" i="6"/>
  <c r="I90" i="6"/>
  <c r="I89" i="6"/>
  <c r="I86" i="6"/>
  <c r="I85" i="6"/>
  <c r="I84" i="6"/>
  <c r="I81" i="6"/>
  <c r="I80" i="6"/>
  <c r="I79" i="6"/>
  <c r="I78" i="6"/>
  <c r="I77" i="6"/>
  <c r="I70" i="6"/>
  <c r="I71" i="6"/>
  <c r="I72" i="6"/>
  <c r="I73" i="6"/>
  <c r="I69" i="6"/>
  <c r="I60" i="6"/>
  <c r="I58" i="6"/>
  <c r="I57" i="6"/>
  <c r="I56" i="6"/>
  <c r="I55" i="6"/>
  <c r="I52" i="6"/>
  <c r="I49" i="6"/>
  <c r="I46" i="6"/>
  <c r="I45" i="6"/>
  <c r="I44" i="6"/>
  <c r="I43" i="6"/>
  <c r="I42" i="6"/>
  <c r="I40" i="6"/>
  <c r="I36" i="6"/>
  <c r="I35" i="6"/>
  <c r="I34" i="6"/>
  <c r="I31" i="6"/>
  <c r="I30" i="6"/>
  <c r="I29" i="6"/>
  <c r="I26" i="6"/>
  <c r="I25" i="6"/>
  <c r="I24" i="6"/>
  <c r="I23" i="6"/>
  <c r="I22" i="6"/>
  <c r="I18" i="6"/>
  <c r="I17" i="6"/>
  <c r="I16" i="6"/>
  <c r="I15" i="6"/>
  <c r="I14" i="6"/>
  <c r="I61" i="9"/>
  <c r="I59" i="9"/>
  <c r="I58" i="9"/>
  <c r="I57" i="9"/>
  <c r="I56" i="9"/>
  <c r="I53" i="9"/>
  <c r="I50" i="9"/>
  <c r="I47" i="9"/>
  <c r="I46" i="9"/>
  <c r="I45" i="9"/>
  <c r="I44" i="9"/>
  <c r="I43" i="9"/>
  <c r="I41" i="9"/>
  <c r="I37" i="9"/>
  <c r="I36" i="9"/>
  <c r="I35" i="9"/>
  <c r="I32" i="9"/>
  <c r="I31" i="9"/>
  <c r="I30" i="9"/>
  <c r="I27" i="9"/>
  <c r="I26" i="9"/>
  <c r="I25" i="9"/>
  <c r="I24" i="9"/>
  <c r="I23" i="9"/>
  <c r="I19" i="9"/>
  <c r="I18" i="9"/>
  <c r="I17" i="9"/>
  <c r="I16" i="9"/>
  <c r="I15" i="9"/>
  <c r="J5" i="13"/>
  <c r="J6" i="13"/>
  <c r="B58" i="1"/>
  <c r="I5" i="13"/>
  <c r="I6" i="13"/>
  <c r="B3" i="1"/>
  <c r="Q34" i="3"/>
  <c r="U34" i="3"/>
  <c r="K65" i="1"/>
  <c r="Q65" i="1"/>
  <c r="U65" i="1"/>
  <c r="K66" i="1"/>
  <c r="Q66" i="1"/>
  <c r="U66" i="1"/>
  <c r="K67" i="1"/>
  <c r="Q67" i="1"/>
  <c r="U67" i="1"/>
  <c r="K64" i="1"/>
  <c r="Q64" i="1"/>
  <c r="U64" i="1"/>
  <c r="U68" i="1"/>
  <c r="K72" i="1"/>
  <c r="Q72" i="1"/>
  <c r="U72" i="1"/>
  <c r="K73" i="1"/>
  <c r="Q73" i="1"/>
  <c r="U73" i="1"/>
  <c r="K74" i="1"/>
  <c r="Q74" i="1"/>
  <c r="U74" i="1"/>
  <c r="K75" i="1"/>
  <c r="Q75" i="1"/>
  <c r="U75" i="1"/>
  <c r="U76" i="1"/>
  <c r="K79" i="1"/>
  <c r="Q79" i="1"/>
  <c r="U79" i="1"/>
  <c r="K80" i="1"/>
  <c r="Q80" i="1"/>
  <c r="U80" i="1"/>
  <c r="U81" i="1"/>
  <c r="K84" i="1"/>
  <c r="Q84" i="1"/>
  <c r="U84" i="1"/>
  <c r="K85" i="1"/>
  <c r="Q85" i="1"/>
  <c r="U85" i="1"/>
  <c r="K86" i="1"/>
  <c r="Q86" i="1"/>
  <c r="I86" i="1"/>
  <c r="J86" i="1"/>
  <c r="R86" i="1"/>
  <c r="S86" i="1"/>
  <c r="T86" i="1"/>
  <c r="U86" i="1"/>
  <c r="K90" i="1"/>
  <c r="Q90" i="1"/>
  <c r="U90" i="1"/>
  <c r="K92" i="1"/>
  <c r="Q92" i="1"/>
  <c r="U92" i="1"/>
  <c r="K93" i="1"/>
  <c r="Q93" i="1"/>
  <c r="U93" i="1"/>
  <c r="K94" i="1"/>
  <c r="Q94" i="1"/>
  <c r="U94" i="1"/>
  <c r="K95" i="1"/>
  <c r="Q95" i="1"/>
  <c r="U95" i="1"/>
  <c r="K96" i="1"/>
  <c r="Q96" i="1"/>
  <c r="I96" i="1"/>
  <c r="J96" i="1"/>
  <c r="R96" i="1"/>
  <c r="S96" i="1"/>
  <c r="T96" i="1"/>
  <c r="U96" i="1"/>
  <c r="K99" i="1"/>
  <c r="Q99" i="1"/>
  <c r="U99" i="1"/>
  <c r="K102" i="1"/>
  <c r="Q102" i="1"/>
  <c r="U102" i="1"/>
  <c r="K105" i="1"/>
  <c r="Q105" i="1"/>
  <c r="U105" i="1"/>
  <c r="K106" i="1"/>
  <c r="Q106" i="1"/>
  <c r="U106" i="1"/>
  <c r="K107" i="1"/>
  <c r="Q107" i="1"/>
  <c r="U107" i="1"/>
  <c r="K108" i="1"/>
  <c r="Q108" i="1"/>
  <c r="I108" i="1"/>
  <c r="J108" i="1"/>
  <c r="R108" i="1"/>
  <c r="S108" i="1"/>
  <c r="T108" i="1"/>
  <c r="U108" i="1"/>
  <c r="U110" i="1"/>
  <c r="K9" i="9"/>
  <c r="K8" i="6"/>
  <c r="P96" i="1"/>
  <c r="O96" i="1"/>
  <c r="N96" i="1"/>
  <c r="M96" i="1"/>
  <c r="L96" i="1"/>
  <c r="H96" i="1"/>
  <c r="G96" i="1"/>
  <c r="Q16" i="3"/>
  <c r="K35" i="1"/>
  <c r="K37" i="1"/>
  <c r="K38" i="1"/>
  <c r="K39" i="1"/>
  <c r="K40" i="1"/>
  <c r="K41" i="1"/>
  <c r="Q35" i="1"/>
  <c r="Q37" i="1"/>
  <c r="Q38" i="1"/>
  <c r="Q39" i="1"/>
  <c r="Q40" i="1"/>
  <c r="Q41" i="1"/>
  <c r="R41" i="1"/>
  <c r="S41" i="1"/>
  <c r="T41" i="1"/>
  <c r="U41" i="1"/>
  <c r="L41" i="1"/>
  <c r="P41" i="1"/>
  <c r="O41" i="1"/>
  <c r="N41" i="1"/>
  <c r="M41" i="1"/>
  <c r="H41" i="1"/>
  <c r="G41" i="1"/>
  <c r="C10" i="10"/>
  <c r="H11" i="6"/>
  <c r="H12" i="9"/>
  <c r="T121" i="9"/>
  <c r="K119" i="9"/>
  <c r="X12" i="9"/>
  <c r="X122" i="9"/>
  <c r="W12" i="9"/>
  <c r="W122" i="9"/>
  <c r="V12" i="9"/>
  <c r="V122" i="9"/>
  <c r="U12" i="9"/>
  <c r="U122" i="9"/>
  <c r="T122" i="9"/>
  <c r="R12" i="9"/>
  <c r="R122" i="9"/>
  <c r="Q12" i="9"/>
  <c r="Q122" i="9"/>
  <c r="P12" i="9"/>
  <c r="P122" i="9"/>
  <c r="O12" i="9"/>
  <c r="O122" i="9"/>
  <c r="L12" i="9"/>
  <c r="L122" i="9"/>
  <c r="K12" i="9"/>
  <c r="K122" i="9"/>
  <c r="X11" i="9"/>
  <c r="X121" i="9"/>
  <c r="W11" i="9"/>
  <c r="W121" i="9"/>
  <c r="V11" i="9"/>
  <c r="V121" i="9"/>
  <c r="U11" i="9"/>
  <c r="U121" i="9"/>
  <c r="R11" i="9"/>
  <c r="R121" i="9"/>
  <c r="Q11" i="9"/>
  <c r="Q121" i="9"/>
  <c r="P121" i="9"/>
  <c r="O11" i="9"/>
  <c r="O121" i="9"/>
  <c r="L11" i="9"/>
  <c r="L121" i="9"/>
  <c r="K11" i="9"/>
  <c r="K121" i="9"/>
  <c r="X67" i="9"/>
  <c r="W67" i="9"/>
  <c r="V67" i="9"/>
  <c r="U67" i="9"/>
  <c r="T67" i="9"/>
  <c r="R67" i="9"/>
  <c r="Q67" i="9"/>
  <c r="P67" i="9"/>
  <c r="O67" i="9"/>
  <c r="L67" i="9"/>
  <c r="K67" i="9"/>
  <c r="X66" i="9"/>
  <c r="W66" i="9"/>
  <c r="V66" i="9"/>
  <c r="U66" i="9"/>
  <c r="R66" i="9"/>
  <c r="Q66" i="9"/>
  <c r="P66" i="9"/>
  <c r="O66" i="9"/>
  <c r="L66" i="9"/>
  <c r="K66" i="9"/>
  <c r="K64" i="9"/>
  <c r="L10" i="6"/>
  <c r="L120" i="6"/>
  <c r="O10" i="6"/>
  <c r="O120" i="6"/>
  <c r="L11" i="6"/>
  <c r="L121" i="6"/>
  <c r="O11" i="6"/>
  <c r="O121" i="6"/>
  <c r="P11" i="6"/>
  <c r="P121" i="6"/>
  <c r="Q11" i="6"/>
  <c r="Q121" i="6"/>
  <c r="R11" i="6"/>
  <c r="R121" i="6"/>
  <c r="T121" i="6"/>
  <c r="K11" i="6"/>
  <c r="K121" i="6"/>
  <c r="K10" i="6"/>
  <c r="K120" i="6"/>
  <c r="K118" i="6"/>
  <c r="K63" i="6"/>
  <c r="L65" i="6"/>
  <c r="O65" i="6"/>
  <c r="L66" i="6"/>
  <c r="O66" i="6"/>
  <c r="P66" i="6"/>
  <c r="Q66" i="6"/>
  <c r="R66" i="6"/>
  <c r="K66" i="6"/>
  <c r="K65" i="6"/>
  <c r="M4" i="3"/>
  <c r="Q186" i="3"/>
  <c r="U186" i="3"/>
  <c r="Q185" i="3"/>
  <c r="U185" i="3"/>
  <c r="Q184" i="3"/>
  <c r="U184" i="3"/>
  <c r="Q181" i="3"/>
  <c r="U181" i="3"/>
  <c r="Q178" i="3"/>
  <c r="U178" i="3"/>
  <c r="Q175" i="3"/>
  <c r="U175" i="3"/>
  <c r="Q174" i="3"/>
  <c r="U174" i="3"/>
  <c r="Q173" i="3"/>
  <c r="U173" i="3"/>
  <c r="Q172" i="3"/>
  <c r="U172" i="3"/>
  <c r="Q170" i="3"/>
  <c r="U170" i="3"/>
  <c r="Q166" i="3"/>
  <c r="U166" i="3"/>
  <c r="Q165" i="3"/>
  <c r="U165" i="3"/>
  <c r="Q162" i="3"/>
  <c r="U162" i="3"/>
  <c r="Q161" i="3"/>
  <c r="U161" i="3"/>
  <c r="Q158" i="3"/>
  <c r="U158" i="3"/>
  <c r="Q157" i="3"/>
  <c r="U157" i="3"/>
  <c r="Q156" i="3"/>
  <c r="U156" i="3"/>
  <c r="Q155" i="3"/>
  <c r="U155" i="3"/>
  <c r="Q154" i="3"/>
  <c r="Q151" i="3"/>
  <c r="U151" i="3"/>
  <c r="Q150" i="3"/>
  <c r="U150" i="3"/>
  <c r="Q149" i="3"/>
  <c r="U149" i="3"/>
  <c r="Q148" i="3"/>
  <c r="U148" i="3"/>
  <c r="P61" i="1"/>
  <c r="T66" i="9"/>
  <c r="Q24" i="3"/>
  <c r="Q25" i="3"/>
  <c r="U25" i="3"/>
  <c r="Q30" i="3"/>
  <c r="Q38" i="3"/>
  <c r="U24" i="3"/>
  <c r="Q29" i="3"/>
  <c r="U29" i="3"/>
  <c r="Q33" i="3"/>
  <c r="U33" i="3"/>
  <c r="Q26" i="3"/>
  <c r="Q41" i="3"/>
  <c r="Q43" i="3"/>
  <c r="Q46" i="3"/>
  <c r="Q49" i="3"/>
  <c r="Q52" i="3"/>
  <c r="U52" i="3"/>
  <c r="Q17" i="3"/>
  <c r="U38" i="3"/>
  <c r="Q40" i="3"/>
  <c r="U40" i="3"/>
  <c r="Q42" i="3"/>
  <c r="Q53" i="3"/>
  <c r="U53" i="3"/>
  <c r="Q54" i="3"/>
  <c r="Q18" i="3"/>
  <c r="Q19" i="3"/>
  <c r="Q23" i="3"/>
  <c r="U23" i="3"/>
  <c r="U30" i="3"/>
  <c r="H53" i="13"/>
  <c r="H41" i="13"/>
  <c r="H31" i="13"/>
  <c r="H26" i="13"/>
  <c r="H21" i="13"/>
  <c r="H13" i="13"/>
  <c r="O6" i="9"/>
  <c r="B9" i="9"/>
  <c r="B8" i="6"/>
  <c r="U46" i="3"/>
  <c r="U54" i="3"/>
  <c r="U18" i="3"/>
  <c r="U41" i="3"/>
  <c r="U19" i="3"/>
  <c r="U49" i="3"/>
  <c r="U17" i="3"/>
  <c r="U43" i="3"/>
  <c r="U26" i="3"/>
  <c r="U42" i="3"/>
  <c r="O5" i="6"/>
  <c r="J26" i="13"/>
  <c r="J21" i="13"/>
  <c r="J31" i="13"/>
  <c r="J41" i="13"/>
  <c r="J13" i="13"/>
  <c r="J53" i="13"/>
  <c r="I21" i="13"/>
  <c r="I26" i="13"/>
  <c r="I41" i="13"/>
  <c r="I53" i="13"/>
  <c r="I31" i="13"/>
  <c r="I13" i="13"/>
  <c r="H55" i="13"/>
  <c r="Q142" i="3"/>
  <c r="Q141" i="3"/>
  <c r="Q140" i="3"/>
  <c r="Q137" i="3"/>
  <c r="Q134" i="3"/>
  <c r="Q131" i="3"/>
  <c r="Q130" i="3"/>
  <c r="Q129" i="3"/>
  <c r="Q128" i="3"/>
  <c r="Q126" i="3"/>
  <c r="Q122" i="3"/>
  <c r="Q121" i="3"/>
  <c r="Q118" i="3"/>
  <c r="Q117" i="3"/>
  <c r="Q114" i="3"/>
  <c r="Q113" i="3"/>
  <c r="Q112" i="3"/>
  <c r="Q111" i="3"/>
  <c r="U111" i="3"/>
  <c r="Q107" i="3"/>
  <c r="Q106" i="3"/>
  <c r="Q105" i="3"/>
  <c r="Q104" i="3"/>
  <c r="Q98" i="3"/>
  <c r="Q97" i="3"/>
  <c r="Q96" i="3"/>
  <c r="Q93" i="3"/>
  <c r="Q90" i="3"/>
  <c r="Q87" i="3"/>
  <c r="Q86" i="3"/>
  <c r="Q85" i="3"/>
  <c r="Q84" i="3"/>
  <c r="Q82" i="3"/>
  <c r="Q78" i="3"/>
  <c r="Q77" i="3"/>
  <c r="Q74" i="3"/>
  <c r="Q73" i="3"/>
  <c r="Q70" i="3"/>
  <c r="Q69" i="3"/>
  <c r="Q68" i="3"/>
  <c r="Q67" i="3"/>
  <c r="Q63" i="3"/>
  <c r="Q62" i="3"/>
  <c r="Q61" i="3"/>
  <c r="Q60" i="3"/>
  <c r="S12" i="9"/>
  <c r="S11" i="9"/>
  <c r="U11" i="6"/>
  <c r="V11" i="6"/>
  <c r="S11" i="6"/>
  <c r="W11" i="6"/>
  <c r="X11" i="6"/>
  <c r="U10" i="6"/>
  <c r="S10" i="6"/>
  <c r="H6" i="5"/>
  <c r="G6" i="5"/>
  <c r="H5" i="5"/>
  <c r="G5" i="5"/>
  <c r="O5" i="1"/>
  <c r="O60" i="1"/>
  <c r="U5" i="1"/>
  <c r="U60" i="1"/>
  <c r="R6" i="1"/>
  <c r="R61" i="1"/>
  <c r="O6" i="1"/>
  <c r="O61" i="1"/>
  <c r="S6" i="1"/>
  <c r="S61" i="1"/>
  <c r="T6" i="1"/>
  <c r="T61" i="1"/>
  <c r="U6" i="1"/>
  <c r="U61" i="1"/>
  <c r="H5" i="1"/>
  <c r="H60" i="1"/>
  <c r="K5" i="1"/>
  <c r="K60" i="1"/>
  <c r="Q5" i="1"/>
  <c r="Q60" i="1"/>
  <c r="H6" i="1"/>
  <c r="H61" i="1"/>
  <c r="K6" i="1"/>
  <c r="K61" i="1"/>
  <c r="L6" i="1"/>
  <c r="L61" i="1"/>
  <c r="M6" i="1"/>
  <c r="M61" i="1"/>
  <c r="N6" i="1"/>
  <c r="N61" i="1"/>
  <c r="Q6" i="1"/>
  <c r="Q61" i="1"/>
  <c r="G6" i="1"/>
  <c r="G61" i="1"/>
  <c r="G5" i="1"/>
  <c r="G60" i="1"/>
  <c r="U118" i="3"/>
  <c r="U140" i="3"/>
  <c r="U137" i="3"/>
  <c r="U134" i="3"/>
  <c r="U130" i="3"/>
  <c r="U129" i="3"/>
  <c r="U128" i="3"/>
  <c r="U121" i="3"/>
  <c r="U112" i="3"/>
  <c r="U107" i="3"/>
  <c r="U106" i="3"/>
  <c r="U104" i="3"/>
  <c r="U60" i="3"/>
  <c r="U61" i="3"/>
  <c r="U62" i="3"/>
  <c r="U68" i="3"/>
  <c r="U69" i="3"/>
  <c r="U73" i="3"/>
  <c r="U74" i="3"/>
  <c r="U77" i="3"/>
  <c r="U82" i="3"/>
  <c r="U84" i="3"/>
  <c r="U90" i="3"/>
  <c r="U97" i="3"/>
  <c r="U98" i="3"/>
  <c r="U122" i="3"/>
  <c r="U87" i="3"/>
  <c r="U67" i="3"/>
  <c r="S120" i="6"/>
  <c r="S65" i="6"/>
  <c r="U120" i="6"/>
  <c r="U65" i="6"/>
  <c r="S121" i="6"/>
  <c r="S66" i="6"/>
  <c r="U66" i="6"/>
  <c r="U121" i="6"/>
  <c r="V121" i="6"/>
  <c r="V66" i="6"/>
  <c r="S121" i="9"/>
  <c r="S66" i="9"/>
  <c r="X121" i="6"/>
  <c r="X66" i="6"/>
  <c r="S67" i="9"/>
  <c r="S122" i="9"/>
  <c r="W66" i="6"/>
  <c r="W121" i="6"/>
  <c r="M146" i="6"/>
  <c r="Q146" i="6"/>
  <c r="L141" i="6"/>
  <c r="U70" i="3"/>
  <c r="U96" i="3"/>
  <c r="P86" i="1"/>
  <c r="O81" i="1"/>
  <c r="R81" i="1"/>
  <c r="H81" i="1"/>
  <c r="N86" i="1"/>
  <c r="H108" i="1"/>
  <c r="G108" i="1"/>
  <c r="N108" i="1"/>
  <c r="O108" i="1"/>
  <c r="L108" i="1"/>
  <c r="M108" i="1"/>
  <c r="P108" i="1"/>
  <c r="M86" i="1"/>
  <c r="G86" i="1"/>
  <c r="L86" i="1"/>
  <c r="P81" i="1"/>
  <c r="S81" i="1"/>
  <c r="T81" i="1"/>
  <c r="H86" i="1"/>
  <c r="O86" i="1"/>
  <c r="N81" i="1"/>
  <c r="L81" i="1"/>
  <c r="M81" i="1"/>
  <c r="I81" i="1"/>
  <c r="J81" i="1"/>
  <c r="G81" i="1"/>
  <c r="U105" i="3"/>
  <c r="U86" i="3"/>
  <c r="U131" i="3"/>
  <c r="U114" i="3"/>
  <c r="U126" i="3"/>
  <c r="U141" i="3"/>
  <c r="U93" i="3"/>
  <c r="U85" i="3"/>
  <c r="U78" i="3"/>
  <c r="U63" i="3"/>
  <c r="U142" i="3"/>
  <c r="U113" i="3"/>
  <c r="J55" i="13"/>
  <c r="I55" i="13"/>
  <c r="U117" i="3"/>
  <c r="K12" i="1"/>
  <c r="K11" i="1"/>
  <c r="H13" i="1"/>
  <c r="S26" i="1"/>
  <c r="K29" i="1"/>
  <c r="H53" i="1"/>
  <c r="K52" i="1"/>
  <c r="K20" i="1"/>
  <c r="P21" i="1"/>
  <c r="H26" i="1"/>
  <c r="T31" i="1"/>
  <c r="K30" i="1"/>
  <c r="G13" i="1"/>
  <c r="K19" i="1"/>
  <c r="G53" i="1"/>
  <c r="R26" i="1"/>
  <c r="T26" i="1"/>
  <c r="H31" i="1"/>
  <c r="R31" i="1"/>
  <c r="K25" i="1"/>
  <c r="S13" i="1"/>
  <c r="N26" i="1"/>
  <c r="M26" i="1"/>
  <c r="M31" i="1"/>
  <c r="P31" i="1"/>
  <c r="K47" i="1"/>
  <c r="S21" i="1"/>
  <c r="O26" i="1"/>
  <c r="O31" i="1"/>
  <c r="O21" i="1"/>
  <c r="Q19" i="1"/>
  <c r="R21" i="1"/>
  <c r="M53" i="1"/>
  <c r="K9" i="1"/>
  <c r="K18" i="1"/>
  <c r="T21" i="1"/>
  <c r="G31" i="1"/>
  <c r="N31" i="1"/>
  <c r="O53" i="1"/>
  <c r="S53" i="1"/>
  <c r="H21" i="1"/>
  <c r="N53" i="1"/>
  <c r="T53" i="1"/>
  <c r="R13" i="1"/>
  <c r="O13" i="1"/>
  <c r="T13" i="1"/>
  <c r="M13" i="1"/>
  <c r="P53" i="1"/>
  <c r="S31" i="1"/>
  <c r="R53" i="1"/>
  <c r="K50" i="1"/>
  <c r="P26" i="1"/>
  <c r="K10" i="1"/>
  <c r="K51" i="1"/>
  <c r="P13" i="1"/>
  <c r="Q10" i="1"/>
  <c r="Q24" i="1"/>
  <c r="Q87" i="9"/>
  <c r="T156" i="6"/>
  <c r="S156" i="6"/>
  <c r="X156" i="6"/>
  <c r="W156" i="6"/>
  <c r="V156" i="6"/>
  <c r="X168" i="6"/>
  <c r="L168" i="6"/>
  <c r="M168" i="6"/>
  <c r="T168" i="6"/>
  <c r="N168" i="6"/>
  <c r="R168" i="6"/>
  <c r="K168" i="6"/>
  <c r="W168" i="6"/>
  <c r="Q168" i="6"/>
  <c r="S168" i="6"/>
  <c r="V168" i="6"/>
  <c r="L156" i="6"/>
  <c r="Q156" i="6"/>
  <c r="N156" i="6"/>
  <c r="M156" i="6"/>
  <c r="R101" i="6"/>
  <c r="R156" i="6"/>
  <c r="K156" i="6"/>
  <c r="S141" i="6"/>
  <c r="X141" i="6"/>
  <c r="Q141" i="6"/>
  <c r="V146" i="6"/>
  <c r="T146" i="6"/>
  <c r="N146" i="6"/>
  <c r="S146" i="6"/>
  <c r="L91" i="6"/>
  <c r="K146" i="6"/>
  <c r="W146" i="6"/>
  <c r="X146" i="6"/>
  <c r="L146" i="6"/>
  <c r="R146" i="6"/>
  <c r="P146" i="6"/>
  <c r="R141" i="6"/>
  <c r="K141" i="6"/>
  <c r="T128" i="6"/>
  <c r="S128" i="6"/>
  <c r="N128" i="6"/>
  <c r="V128" i="6"/>
  <c r="W128" i="6"/>
  <c r="N136" i="6"/>
  <c r="L136" i="6"/>
  <c r="M141" i="6"/>
  <c r="T141" i="6"/>
  <c r="V141" i="6"/>
  <c r="N141" i="6"/>
  <c r="W141" i="6"/>
  <c r="P136" i="6"/>
  <c r="K136" i="6"/>
  <c r="T136" i="6"/>
  <c r="Q136" i="6"/>
  <c r="W136" i="6"/>
  <c r="R136" i="6"/>
  <c r="S136" i="6"/>
  <c r="X136" i="6"/>
  <c r="V136" i="6"/>
  <c r="M136" i="6"/>
  <c r="L128" i="6"/>
  <c r="Q128" i="6"/>
  <c r="X128" i="6"/>
  <c r="M128" i="6"/>
  <c r="R128" i="6"/>
  <c r="P128" i="6"/>
  <c r="K128" i="6"/>
  <c r="R86" i="6"/>
  <c r="T86" i="6"/>
  <c r="Q113" i="6"/>
  <c r="S91" i="6"/>
  <c r="W86" i="6"/>
  <c r="L113" i="6"/>
  <c r="S113" i="6"/>
  <c r="Q91" i="6"/>
  <c r="N86" i="6"/>
  <c r="R113" i="6"/>
  <c r="Q86" i="6"/>
  <c r="W113" i="6"/>
  <c r="N91" i="6"/>
  <c r="S86" i="6"/>
  <c r="T101" i="6"/>
  <c r="V91" i="6"/>
  <c r="X86" i="6"/>
  <c r="V113" i="6"/>
  <c r="M91" i="6"/>
  <c r="K113" i="6"/>
  <c r="W91" i="6"/>
  <c r="X113" i="6"/>
  <c r="T113" i="6"/>
  <c r="R91" i="6"/>
  <c r="V86" i="6"/>
  <c r="N113" i="6"/>
  <c r="X91" i="6"/>
  <c r="W101" i="6"/>
  <c r="M113" i="6"/>
  <c r="T91" i="6"/>
  <c r="K91" i="6"/>
  <c r="L86" i="6"/>
  <c r="M86" i="6"/>
  <c r="U16" i="3"/>
  <c r="N76" i="1"/>
  <c r="O76" i="1"/>
  <c r="N68" i="1"/>
  <c r="L76" i="1"/>
  <c r="I68" i="1"/>
  <c r="R76" i="1"/>
  <c r="M68" i="1"/>
  <c r="L68" i="1"/>
  <c r="I76" i="1"/>
  <c r="H68" i="1"/>
  <c r="G76" i="1"/>
  <c r="J68" i="1"/>
  <c r="J76" i="1"/>
  <c r="R68" i="1"/>
  <c r="S68" i="1"/>
  <c r="P76" i="1"/>
  <c r="O68" i="1"/>
  <c r="H76" i="1"/>
  <c r="S76" i="1"/>
  <c r="T68" i="1"/>
  <c r="T76" i="1"/>
  <c r="P68" i="1"/>
  <c r="M76" i="1"/>
  <c r="Q81" i="1"/>
  <c r="K81" i="1"/>
  <c r="U37" i="1"/>
  <c r="U35" i="1"/>
  <c r="Q50" i="1"/>
  <c r="U50" i="1"/>
  <c r="Q30" i="1"/>
  <c r="U30" i="1"/>
  <c r="L26" i="1"/>
  <c r="G68" i="1"/>
  <c r="U38" i="1"/>
  <c r="Q52" i="1"/>
  <c r="U52" i="1"/>
  <c r="Q25" i="1"/>
  <c r="U25" i="1"/>
  <c r="V31" i="6"/>
  <c r="L31" i="6"/>
  <c r="S36" i="6"/>
  <c r="V36" i="6"/>
  <c r="S31" i="6"/>
  <c r="R31" i="6"/>
  <c r="L58" i="6"/>
  <c r="W31" i="6"/>
  <c r="T36" i="6"/>
  <c r="Q31" i="6"/>
  <c r="Q46" i="6"/>
  <c r="X36" i="6"/>
  <c r="X31" i="6"/>
  <c r="L46" i="6"/>
  <c r="Q36" i="6"/>
  <c r="X46" i="6"/>
  <c r="R58" i="6"/>
  <c r="G21" i="1"/>
  <c r="W46" i="6"/>
  <c r="Q44" i="1"/>
  <c r="Q20" i="1"/>
  <c r="U20" i="1"/>
  <c r="Q51" i="1"/>
  <c r="U51" i="1"/>
  <c r="W36" i="6"/>
  <c r="K44" i="1"/>
  <c r="V26" i="6"/>
  <c r="T31" i="6"/>
  <c r="W26" i="6"/>
  <c r="Q58" i="6"/>
  <c r="T26" i="6"/>
  <c r="T18" i="6"/>
  <c r="Q12" i="1"/>
  <c r="U12" i="1"/>
  <c r="L26" i="6"/>
  <c r="H55" i="1"/>
  <c r="U19" i="1"/>
  <c r="K31" i="1"/>
  <c r="S46" i="6"/>
  <c r="S26" i="6"/>
  <c r="W58" i="6"/>
  <c r="V58" i="6"/>
  <c r="S58" i="6"/>
  <c r="L18" i="6"/>
  <c r="V46" i="6"/>
  <c r="X26" i="6"/>
  <c r="S55" i="1"/>
  <c r="X18" i="6"/>
  <c r="S18" i="6"/>
  <c r="P55" i="1"/>
  <c r="G26" i="1"/>
  <c r="K24" i="1"/>
  <c r="K26" i="1"/>
  <c r="L53" i="1"/>
  <c r="Q18" i="6"/>
  <c r="R36" i="6"/>
  <c r="K17" i="1"/>
  <c r="K21" i="1"/>
  <c r="Q47" i="1"/>
  <c r="U47" i="1"/>
  <c r="Q29" i="1"/>
  <c r="L31" i="1"/>
  <c r="K36" i="6"/>
  <c r="M21" i="1"/>
  <c r="M55" i="1"/>
  <c r="K13" i="1"/>
  <c r="U10" i="1"/>
  <c r="L36" i="6"/>
  <c r="Q17" i="1"/>
  <c r="L21" i="1"/>
  <c r="K53" i="1"/>
  <c r="K18" i="6"/>
  <c r="T58" i="6"/>
  <c r="T55" i="1"/>
  <c r="O55" i="1"/>
  <c r="R55" i="1"/>
  <c r="N21" i="1"/>
  <c r="Q18" i="1"/>
  <c r="U18" i="1"/>
  <c r="Q11" i="1"/>
  <c r="U11" i="1"/>
  <c r="L13" i="1"/>
  <c r="Q9" i="1"/>
  <c r="N13" i="1"/>
  <c r="W18" i="6"/>
  <c r="T46" i="6"/>
  <c r="K58" i="6"/>
  <c r="V18" i="6"/>
  <c r="X58" i="6"/>
  <c r="W102" i="9"/>
  <c r="W157" i="9"/>
  <c r="R102" i="9"/>
  <c r="R157" i="9"/>
  <c r="T102" i="9"/>
  <c r="T157" i="9"/>
  <c r="Q142" i="9"/>
  <c r="Q147" i="9"/>
  <c r="L142" i="9"/>
  <c r="M142" i="9"/>
  <c r="Q92" i="9"/>
  <c r="M147" i="9"/>
  <c r="M87" i="9"/>
  <c r="L87" i="9"/>
  <c r="Q169" i="9"/>
  <c r="Q114" i="9"/>
  <c r="M92" i="9"/>
  <c r="X92" i="9"/>
  <c r="X147" i="9"/>
  <c r="S87" i="9"/>
  <c r="N92" i="9"/>
  <c r="S114" i="9"/>
  <c r="W87" i="9"/>
  <c r="W147" i="9"/>
  <c r="L114" i="9"/>
  <c r="T142" i="9"/>
  <c r="W114" i="9"/>
  <c r="R142" i="9"/>
  <c r="T147" i="9"/>
  <c r="L92" i="9"/>
  <c r="X169" i="9"/>
  <c r="X87" i="9"/>
  <c r="R114" i="9"/>
  <c r="N169" i="9"/>
  <c r="P102" i="9"/>
  <c r="K157" i="9"/>
  <c r="K87" i="9"/>
  <c r="W169" i="9"/>
  <c r="S92" i="9"/>
  <c r="P87" i="9"/>
  <c r="V147" i="9"/>
  <c r="M114" i="9"/>
  <c r="V169" i="9"/>
  <c r="P169" i="9"/>
  <c r="K92" i="9"/>
  <c r="N87" i="9"/>
  <c r="T92" i="9"/>
  <c r="N114" i="9"/>
  <c r="P157" i="9"/>
  <c r="L147" i="9"/>
  <c r="K102" i="9"/>
  <c r="R92" i="9"/>
  <c r="T169" i="9"/>
  <c r="K142" i="9"/>
  <c r="V87" i="9"/>
  <c r="X114" i="9"/>
  <c r="K114" i="9"/>
  <c r="X142" i="9"/>
  <c r="R169" i="9"/>
  <c r="P147" i="9"/>
  <c r="R147" i="9"/>
  <c r="T114" i="9"/>
  <c r="V142" i="9"/>
  <c r="K169" i="9"/>
  <c r="P92" i="9"/>
  <c r="R87" i="9"/>
  <c r="S142" i="9"/>
  <c r="N147" i="9"/>
  <c r="S169" i="9"/>
  <c r="W142" i="9"/>
  <c r="S147" i="9"/>
  <c r="P142" i="9"/>
  <c r="W92" i="9"/>
  <c r="T87" i="9"/>
  <c r="V92" i="9"/>
  <c r="M169" i="9"/>
  <c r="V114" i="9"/>
  <c r="P114" i="9"/>
  <c r="K147" i="9"/>
  <c r="N142" i="9"/>
  <c r="L169" i="9"/>
  <c r="U168" i="6"/>
  <c r="P168" i="6"/>
  <c r="O168" i="6"/>
  <c r="U146" i="6"/>
  <c r="Q170" i="6"/>
  <c r="X170" i="6"/>
  <c r="P156" i="6"/>
  <c r="V170" i="6"/>
  <c r="S170" i="6"/>
  <c r="K170" i="6"/>
  <c r="L170" i="6"/>
  <c r="T170" i="6"/>
  <c r="O156" i="6"/>
  <c r="O146" i="6"/>
  <c r="W170" i="6"/>
  <c r="O141" i="6"/>
  <c r="R170" i="6"/>
  <c r="P141" i="6"/>
  <c r="N170" i="6"/>
  <c r="U141" i="6"/>
  <c r="M170" i="6"/>
  <c r="O136" i="6"/>
  <c r="U136" i="6"/>
  <c r="U128" i="6"/>
  <c r="O128" i="6"/>
  <c r="K101" i="6"/>
  <c r="K86" i="6"/>
  <c r="P91" i="6"/>
  <c r="M101" i="6"/>
  <c r="X81" i="6"/>
  <c r="S81" i="6"/>
  <c r="L73" i="6"/>
  <c r="L101" i="6"/>
  <c r="Q101" i="6"/>
  <c r="X73" i="6"/>
  <c r="V101" i="6"/>
  <c r="L81" i="6"/>
  <c r="R81" i="6"/>
  <c r="M81" i="6"/>
  <c r="X101" i="6"/>
  <c r="R73" i="6"/>
  <c r="N81" i="6"/>
  <c r="V73" i="6"/>
  <c r="S73" i="6"/>
  <c r="W81" i="6"/>
  <c r="S101" i="6"/>
  <c r="O91" i="6"/>
  <c r="O86" i="6"/>
  <c r="U91" i="6"/>
  <c r="N101" i="6"/>
  <c r="V81" i="6"/>
  <c r="P73" i="6"/>
  <c r="K81" i="6"/>
  <c r="O113" i="6"/>
  <c r="Q73" i="6"/>
  <c r="W73" i="6"/>
  <c r="M73" i="6"/>
  <c r="T73" i="6"/>
  <c r="P81" i="6"/>
  <c r="N73" i="6"/>
  <c r="K73" i="6"/>
  <c r="Q81" i="6"/>
  <c r="T81" i="6"/>
  <c r="N110" i="1"/>
  <c r="Q76" i="1"/>
  <c r="L110" i="1"/>
  <c r="K76" i="1"/>
  <c r="J110" i="1"/>
  <c r="Q68" i="1"/>
  <c r="H110" i="1"/>
  <c r="M110" i="1"/>
  <c r="I110" i="1"/>
  <c r="R110" i="1"/>
  <c r="G110" i="1"/>
  <c r="P110" i="1"/>
  <c r="S110" i="1"/>
  <c r="O110" i="1"/>
  <c r="T110" i="1"/>
  <c r="P31" i="6"/>
  <c r="U40" i="1"/>
  <c r="Q26" i="1"/>
  <c r="R26" i="6"/>
  <c r="P46" i="6"/>
  <c r="K68" i="1"/>
  <c r="P58" i="6"/>
  <c r="U44" i="1"/>
  <c r="R46" i="6"/>
  <c r="Q53" i="1"/>
  <c r="U53" i="1"/>
  <c r="W60" i="6"/>
  <c r="P36" i="6"/>
  <c r="U24" i="1"/>
  <c r="U26" i="1"/>
  <c r="V60" i="6"/>
  <c r="L60" i="6"/>
  <c r="S60" i="6"/>
  <c r="G55" i="1"/>
  <c r="N55" i="1"/>
  <c r="K26" i="6"/>
  <c r="P18" i="6"/>
  <c r="X60" i="6"/>
  <c r="T60" i="6"/>
  <c r="L55" i="1"/>
  <c r="Q31" i="1"/>
  <c r="U31" i="1"/>
  <c r="U29" i="1"/>
  <c r="K46" i="6"/>
  <c r="Q26" i="6"/>
  <c r="Q60" i="6"/>
  <c r="K31" i="6"/>
  <c r="Q13" i="1"/>
  <c r="U9" i="1"/>
  <c r="U13" i="1"/>
  <c r="U39" i="1"/>
  <c r="P26" i="6"/>
  <c r="R18" i="6"/>
  <c r="U18" i="6"/>
  <c r="U36" i="6"/>
  <c r="Q21" i="1"/>
  <c r="U17" i="1"/>
  <c r="U21" i="1"/>
  <c r="Q137" i="9"/>
  <c r="L74" i="9"/>
  <c r="X157" i="9"/>
  <c r="Q82" i="9"/>
  <c r="V157" i="9"/>
  <c r="R137" i="9"/>
  <c r="R82" i="9"/>
  <c r="U147" i="9"/>
  <c r="L129" i="9"/>
  <c r="S82" i="9"/>
  <c r="T137" i="9"/>
  <c r="T129" i="9"/>
  <c r="U142" i="9"/>
  <c r="S74" i="9"/>
  <c r="L82" i="9"/>
  <c r="V129" i="9"/>
  <c r="M74" i="9"/>
  <c r="L157" i="9"/>
  <c r="N102" i="9"/>
  <c r="S102" i="9"/>
  <c r="X137" i="9"/>
  <c r="T82" i="9"/>
  <c r="V102" i="9"/>
  <c r="R129" i="9"/>
  <c r="S137" i="9"/>
  <c r="L137" i="9"/>
  <c r="M129" i="9"/>
  <c r="N157" i="9"/>
  <c r="R74" i="9"/>
  <c r="K74" i="9"/>
  <c r="N82" i="9"/>
  <c r="U169" i="9"/>
  <c r="K82" i="9"/>
  <c r="U156" i="6"/>
  <c r="U170" i="6"/>
  <c r="O147" i="9"/>
  <c r="S129" i="9"/>
  <c r="V74" i="9"/>
  <c r="O142" i="9"/>
  <c r="Q74" i="9"/>
  <c r="V137" i="9"/>
  <c r="S157" i="9"/>
  <c r="P82" i="9"/>
  <c r="K129" i="9"/>
  <c r="X102" i="9"/>
  <c r="W74" i="9"/>
  <c r="O169" i="9"/>
  <c r="O114" i="9"/>
  <c r="T74" i="9"/>
  <c r="L102" i="9"/>
  <c r="P129" i="9"/>
  <c r="M157" i="9"/>
  <c r="K137" i="9"/>
  <c r="M137" i="9"/>
  <c r="W82" i="9"/>
  <c r="X82" i="9"/>
  <c r="N74" i="9"/>
  <c r="Q102" i="9"/>
  <c r="N137" i="9"/>
  <c r="O92" i="9"/>
  <c r="X74" i="9"/>
  <c r="N129" i="9"/>
  <c r="W129" i="9"/>
  <c r="O102" i="9"/>
  <c r="Q157" i="9"/>
  <c r="P74" i="9"/>
  <c r="M102" i="9"/>
  <c r="X129" i="9"/>
  <c r="Q129" i="9"/>
  <c r="V82" i="9"/>
  <c r="O87" i="9"/>
  <c r="M82" i="9"/>
  <c r="W137" i="9"/>
  <c r="P137" i="9"/>
  <c r="P170" i="6"/>
  <c r="O170" i="6"/>
  <c r="P113" i="6"/>
  <c r="U46" i="6"/>
  <c r="U101" i="6"/>
  <c r="P101" i="6"/>
  <c r="P86" i="6"/>
  <c r="R115" i="6"/>
  <c r="U81" i="6"/>
  <c r="L115" i="6"/>
  <c r="X115" i="6"/>
  <c r="K115" i="6"/>
  <c r="M115" i="6"/>
  <c r="W115" i="6"/>
  <c r="N115" i="6"/>
  <c r="V115" i="6"/>
  <c r="T115" i="6"/>
  <c r="Q115" i="6"/>
  <c r="U73" i="6"/>
  <c r="S115" i="6"/>
  <c r="O101" i="6"/>
  <c r="O81" i="6"/>
  <c r="O73" i="6"/>
  <c r="Q110" i="1"/>
  <c r="K110" i="1"/>
  <c r="U31" i="6"/>
  <c r="U55" i="1"/>
  <c r="R60" i="6"/>
  <c r="K60" i="6"/>
  <c r="P60" i="6"/>
  <c r="U58" i="6"/>
  <c r="Q55" i="1"/>
  <c r="U26" i="6"/>
  <c r="K55" i="1"/>
  <c r="U157" i="9"/>
  <c r="R171" i="9"/>
  <c r="R116" i="9"/>
  <c r="S116" i="9"/>
  <c r="L116" i="9"/>
  <c r="M171" i="9"/>
  <c r="L171" i="9"/>
  <c r="T171" i="9"/>
  <c r="N171" i="9"/>
  <c r="U129" i="9"/>
  <c r="M116" i="9"/>
  <c r="T116" i="9"/>
  <c r="V171" i="9"/>
  <c r="U137" i="9"/>
  <c r="V116" i="9"/>
  <c r="S171" i="9"/>
  <c r="N116" i="9"/>
  <c r="K116" i="9"/>
  <c r="X171" i="9"/>
  <c r="Q116" i="9"/>
  <c r="W171" i="9"/>
  <c r="W116" i="9"/>
  <c r="O129" i="9"/>
  <c r="Q171" i="9"/>
  <c r="P116" i="9"/>
  <c r="X116" i="9"/>
  <c r="P171" i="9"/>
  <c r="K171" i="9"/>
  <c r="O74" i="9"/>
  <c r="O157" i="9"/>
  <c r="O137" i="9"/>
  <c r="O82" i="9"/>
  <c r="U113" i="6"/>
  <c r="P115" i="6"/>
  <c r="U86" i="6"/>
  <c r="O115" i="6"/>
  <c r="U60" i="6"/>
  <c r="U171" i="9"/>
  <c r="O116" i="9"/>
  <c r="O171" i="9"/>
  <c r="U1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Corey Scult</author>
  </authors>
  <commentList>
    <comment ref="L3" authorId="0" shapeId="0" xr:uid="{00000000-0006-0000-0800-000001000000}">
      <text>
        <r>
          <rPr>
            <sz val="9"/>
            <color indexed="81"/>
            <rFont val="Tahoma"/>
            <family val="2"/>
          </rPr>
          <t>Scenarios are selected on the "National Results" and "NYC Results" tabs.</t>
        </r>
      </text>
    </comment>
    <comment ref="J4" authorId="0" shapeId="0" xr:uid="{00000000-0006-0000-0800-000002000000}">
      <text>
        <r>
          <rPr>
            <sz val="9"/>
            <color indexed="81"/>
            <rFont val="Tahoma"/>
            <family val="2"/>
          </rPr>
          <t>Note this "NYC Basis" column calculates a national number of units. Numbers from this column are used in the "NYC Results" tab to calculate NYC-appropriate results, whereas the preceeding column is used in the "National Results" tab to calculate national results.</t>
        </r>
      </text>
    </comment>
  </commentList>
</comments>
</file>

<file path=xl/sharedStrings.xml><?xml version="1.0" encoding="utf-8"?>
<sst xmlns="http://schemas.openxmlformats.org/spreadsheetml/2006/main" count="1329" uniqueCount="190">
  <si>
    <t>Paper</t>
  </si>
  <si>
    <t>Aluminum</t>
  </si>
  <si>
    <t>PLA</t>
  </si>
  <si>
    <t>Wood</t>
  </si>
  <si>
    <t>Other</t>
  </si>
  <si>
    <t>Clamshells</t>
  </si>
  <si>
    <t>Other Containers</t>
  </si>
  <si>
    <t>Cold Cup</t>
  </si>
  <si>
    <t>Other Lids</t>
  </si>
  <si>
    <t>Packaging Bags</t>
  </si>
  <si>
    <t>Beverage Cups</t>
  </si>
  <si>
    <t>Portion Cups</t>
  </si>
  <si>
    <t>Dinnerware</t>
  </si>
  <si>
    <t>Plates &amp; Bowls</t>
  </si>
  <si>
    <t>Utensils</t>
  </si>
  <si>
    <t>Cutlery</t>
  </si>
  <si>
    <t>Straws</t>
  </si>
  <si>
    <t>Stirrers</t>
  </si>
  <si>
    <t>Chopsticks</t>
  </si>
  <si>
    <t>Napkins</t>
  </si>
  <si>
    <t>Food Trays</t>
  </si>
  <si>
    <t>Containers</t>
  </si>
  <si>
    <t>Lids &amp; Domes</t>
  </si>
  <si>
    <t>Bags</t>
  </si>
  <si>
    <t>Dinnerware &amp; Utensils</t>
  </si>
  <si>
    <t>Wraps</t>
  </si>
  <si>
    <t>EPS</t>
  </si>
  <si>
    <t>User Select</t>
  </si>
  <si>
    <t>Manual Inputs</t>
  </si>
  <si>
    <t>Baseline Assumptions</t>
  </si>
  <si>
    <t>Currently-Selected Inputs</t>
  </si>
  <si>
    <t>Introduction</t>
  </si>
  <si>
    <t>Total Units</t>
  </si>
  <si>
    <t>Total Mass</t>
  </si>
  <si>
    <t>Containers Total</t>
  </si>
  <si>
    <t>Lids &amp; Domes Total</t>
  </si>
  <si>
    <t>Bags Total</t>
  </si>
  <si>
    <t>Dinnerware &amp; Utensils Total</t>
  </si>
  <si>
    <t>Other Total</t>
  </si>
  <si>
    <t>Grand Total</t>
  </si>
  <si>
    <t>Foam</t>
  </si>
  <si>
    <t>PET</t>
  </si>
  <si>
    <t>PP</t>
  </si>
  <si>
    <t>PS</t>
  </si>
  <si>
    <t>(millions)</t>
  </si>
  <si>
    <t>Carryout Bags</t>
  </si>
  <si>
    <t>Portion Cup Lids</t>
  </si>
  <si>
    <t>Hot Cup Lids</t>
  </si>
  <si>
    <t>Cold Cup Lids</t>
  </si>
  <si>
    <t>Hot Cups</t>
  </si>
  <si>
    <t>Cold Cups</t>
  </si>
  <si>
    <t>X</t>
  </si>
  <si>
    <t>Pizza Boxes</t>
  </si>
  <si>
    <t>Beverage Cup Lids</t>
  </si>
  <si>
    <t>Carryout Bag</t>
  </si>
  <si>
    <t>Cup Sleeves</t>
  </si>
  <si>
    <t>(metric tons)</t>
  </si>
  <si>
    <t>Beverage Cups Total</t>
  </si>
  <si>
    <t>Other Paperboard Boxes &amp; Cartons</t>
  </si>
  <si>
    <t>Paperboard Boxes &amp; Cartons</t>
  </si>
  <si>
    <t>Select Material Share of Product Units</t>
  </si>
  <si>
    <t>Molded</t>
  </si>
  <si>
    <t>Fiber</t>
  </si>
  <si>
    <t>TOTAL</t>
  </si>
  <si>
    <t>PAPER</t>
  </si>
  <si>
    <t>GRAND</t>
  </si>
  <si>
    <t>PLASTIC</t>
  </si>
  <si>
    <t>Product Masses</t>
  </si>
  <si>
    <t>National Results</t>
  </si>
  <si>
    <t>Lined</t>
  </si>
  <si>
    <t>Unlined</t>
  </si>
  <si>
    <t>LDPE/HDPE</t>
  </si>
  <si>
    <t>Plastics</t>
  </si>
  <si>
    <t>Papers</t>
  </si>
  <si>
    <t>Select mass units:</t>
  </si>
  <si>
    <t>Metric Tons</t>
  </si>
  <si>
    <t>Kilograms</t>
  </si>
  <si>
    <t>Pounds</t>
  </si>
  <si>
    <t>Units Used On- and Off-Premise</t>
  </si>
  <si>
    <t>Assumption</t>
  </si>
  <si>
    <t>On-</t>
  </si>
  <si>
    <t>Premise</t>
  </si>
  <si>
    <t>Off-</t>
  </si>
  <si>
    <t>Starting</t>
  </si>
  <si>
    <t>National</t>
  </si>
  <si>
    <t>SCENARIO MANAGER</t>
  </si>
  <si>
    <t>NATIONAL UNITS USED</t>
  </si>
  <si>
    <t>NYC Basis</t>
  </si>
  <si>
    <t>Select Share of Each Product that is Recyclable</t>
  </si>
  <si>
    <t>Select Share of Each Product that is Compostable</t>
  </si>
  <si>
    <t>Baseline Assumptions - No EPS</t>
  </si>
  <si>
    <t>Select (1) to use manual inputs, (2) to use baseline assumptions, or (3) to use baseline assumptions without EPS Foam:</t>
  </si>
  <si>
    <r>
      <t xml:space="preserve">Note: Scroll down to the section titled "Manual Inputs" to input your own assumptions. All cells with </t>
    </r>
    <r>
      <rPr>
        <i/>
        <sz val="10"/>
        <color rgb="FF0000FF"/>
        <rFont val="Calibri"/>
        <family val="2"/>
        <scheme val="minor"/>
      </rPr>
      <t xml:space="preserve">blue </t>
    </r>
    <r>
      <rPr>
        <i/>
        <sz val="10"/>
        <rFont val="Calibri"/>
        <family val="2"/>
        <scheme val="minor"/>
      </rPr>
      <t>numbers can be changed by the user</t>
    </r>
  </si>
  <si>
    <t>Conversions</t>
  </si>
  <si>
    <t>NYC Results</t>
  </si>
  <si>
    <t>Methods and Assumptions</t>
  </si>
  <si>
    <t>Description</t>
  </si>
  <si>
    <t>Links</t>
  </si>
  <si>
    <t>Whole pizza boxes and single-slice wedges</t>
  </si>
  <si>
    <t>Other Paperboard Boxes and Cartons</t>
  </si>
  <si>
    <t>Hinged containers</t>
  </si>
  <si>
    <t>Hot Beverage Cup Lids</t>
  </si>
  <si>
    <t>Cold Beverage Cup Lids</t>
  </si>
  <si>
    <t>Total Units Sold</t>
  </si>
  <si>
    <t>Scenario Inputs</t>
  </si>
  <si>
    <t>Conversion Factor</t>
  </si>
  <si>
    <t>Desired Units</t>
  </si>
  <si>
    <t>Calculations start in millions of grams</t>
  </si>
  <si>
    <t>Short Tons</t>
  </si>
  <si>
    <t>The following tabs contain the model results</t>
  </si>
  <si>
    <t>The following tabs contain the user inputs</t>
  </si>
  <si>
    <t>The following tabs contain background data and calculations required to calculate the results tabs</t>
  </si>
  <si>
    <t>Product Mass (grams)</t>
  </si>
  <si>
    <t>All Units</t>
  </si>
  <si>
    <t>Hot beverage cup lids (e.g., coffee cup lids)</t>
  </si>
  <si>
    <t>Cold beverage cup lids (e.g., fountain beverage cup and iced coffee)</t>
  </si>
  <si>
    <t>Lids for small condiment cups</t>
  </si>
  <si>
    <t xml:space="preserve">All other container lids, including for food cups, buckets &amp; pails, aluminum foil container, etc. </t>
  </si>
  <si>
    <t xml:space="preserve">All other containers, including food cups, buckets &amp; pails, aluminum foil containers, etc.  </t>
  </si>
  <si>
    <t>Bags typically used for take-out and delivery</t>
  </si>
  <si>
    <t xml:space="preserve">Bags typically used for cookies, sandwiches, bread, etc. </t>
  </si>
  <si>
    <t>Hot beverage cups</t>
  </si>
  <si>
    <t>Cold beverage cups</t>
  </si>
  <si>
    <t xml:space="preserve">Plates and bowls typically used for dine-in orders. Bowls have rounded bottoms as compared to the flat bottoms of take-out cups. </t>
  </si>
  <si>
    <t>Drinking straws</t>
  </si>
  <si>
    <t>Stirrers or small straws intended for use as stirrers</t>
  </si>
  <si>
    <t>Small cups typically used for condiments like ketchup and salsas</t>
  </si>
  <si>
    <t>Hot cup sleeves used to protect hands when holding hot beverage cups</t>
  </si>
  <si>
    <t>https://www.pizzatoday.com/departments/front-of-the-house/customization-nation/ https://www.transparencymarketresearch.com/pizza-box-market.html</t>
  </si>
  <si>
    <t>Average Price per Unit</t>
  </si>
  <si>
    <t>Purchasing list, product catalogs, and online research</t>
  </si>
  <si>
    <t>Knives, forks, spoons, and sporks</t>
  </si>
  <si>
    <t>Freedonia Group</t>
  </si>
  <si>
    <t>Paper "boats" and carrier trays</t>
  </si>
  <si>
    <t xml:space="preserve">All other paperboard boxes and cartons, including french fry cartons and
doughnut boxes, and excluding clamshells </t>
  </si>
  <si>
    <t>Notes</t>
  </si>
  <si>
    <t>Sales and/or Units Sold Calculations</t>
  </si>
  <si>
    <t xml:space="preserve">Freedonia only reported "other container" sales for two segments, fast casual and full service &amp; other. We totaled the other products in the container category and subtracted from total container sales to get a total for the "other container" category, which was significanlty higher than simply summing the figures listed for the two restaurant segments. </t>
  </si>
  <si>
    <t xml:space="preserve">The Freedonia report provided average price for total beverage cups, which we used to calculate total beverage cup sales. We separated the category into hot and cold cups due to the significant difference in materials used for each. To calculate units sold for hot and cold cups separately, pricing data was first used to develop average prices for each. Next we used purchasing data to calculate that cold cups are 69% of beverage cup sales. We used that data and the difference in average pricing to calculate the units of hot and cold cups so the total matched the total result found when using Freedonia beverage cup sales and price data.  </t>
  </si>
  <si>
    <t xml:space="preserve">Freedonia report listed napkin sales for each restaurant segment. We summed across the segments and used Freedonia's average price to calculate units. </t>
  </si>
  <si>
    <t xml:space="preserve">The Freedonia report only listed wrap sales for the QSR and fast casual segments so total wrap sales are likely an underestimate. </t>
  </si>
  <si>
    <t xml:space="preserve">Typically individual sheets packed in pop-up boxes. Used to wrap sandwiches, burritos, bagels, etc. Excludes rolls (e.g., plastic wrap and aluminum foil rolls) because they are typically used back of house.  </t>
  </si>
  <si>
    <t>Mass</t>
  </si>
  <si>
    <t>(% of total)</t>
  </si>
  <si>
    <t>Clamshell sales were not reported for the QSR segment in the Freedonia report, but were mentioned as a product used in that segment. We know anecdotally that QSRs use clamshells for a lot of products, especially fast food burgers, and felt that excluding them would lead to a drastic underestimate of clamshells used. A Freedonia analyst confirmed this product was rolled up into the "Other" category (not the "Other Containers" category), but they did not have a number associated with it. We therefore looked at the average % of total container sales represented by clamshells in the fast casual and full service &amp; other segments, which is about 40%. We applied that % to total containers in the QSR segment to get clamshell sales for that segment and deducted the same amount from sales of the "Other" category. We then summed across the segments to get total clamshell sales. Note that no clamshell sales figure was provided for the coffee &amp; snack segment and we did not attempt to estimate that figure.</t>
  </si>
  <si>
    <t>Despite the rather large number of napkins resulting from our caculations, this still may  be an underestimate due to napkins included in utensil packages that also include napkins.</t>
  </si>
  <si>
    <t xml:space="preserve">For three of the four restaurant segments, the Freedonia report combines dinnerware and utensils sales into one "dinnerware &amp; utensils" total. It separately report dinnerware and utensils for the QSR category only. Because dinnerware and utensils are made from different materials and we there is particular interest in knowing the number of utensils, especially straws, we attempted to parse out dinnerware and utensil sales. Freedonia did report sales separately for the QSR category, which revealed dinnerware represented 46% of total dinnerware and utensil sales. However, based on our purchasing list representing various restaurant types, dinnerware comprised only about 20% of total dinnerware and utensil sales. We used the 20% to estimate dinnerware sales for the three restaurant segments for which the data was not split out in the Freedonia report.    </t>
  </si>
  <si>
    <t xml:space="preserve">We used our purchasing list to estimate what percent of utensil sales are represented by each of the individual utensil types: cutlery (68%), straws (30%), stirrers (1%), and chopticks (1%).     </t>
  </si>
  <si>
    <t xml:space="preserve">
The starting point for analysis was sections of industry report purchased from Freedonia Group, “Foodservice Single-Use Products in the US by Product and Market.” The sections purchased included total 2016 U.S. sales of foodservice disposable products to the four restaurant segments of interest for this project: quickservice restaurants (QSR), fast casual, coffee and snack, and full service &amp; other. The report also included average price points for selected products, which in those cases could be then used to calculate total units sold to those restaurant segments. 
The Freedonia report was supplemented with: 1) annual purchasing data obtained from a restaurant group and individual restaurant which, combined, represent approximately $500k in annual product purchases; 2) information found in product catalogs, 3) online research, and 4) expert interviews. Details about when and where these sources were used appears in the product notes belows.        
</t>
  </si>
  <si>
    <t>Overall Approach</t>
  </si>
  <si>
    <t>Assumptions and Limitations</t>
  </si>
  <si>
    <r>
      <rPr>
        <b/>
        <sz val="11"/>
        <color theme="1"/>
        <rFont val="Calibri"/>
        <family val="2"/>
        <scheme val="minor"/>
      </rPr>
      <t>Incomplete Data</t>
    </r>
    <r>
      <rPr>
        <sz val="11"/>
        <color theme="1"/>
        <rFont val="Calibri"/>
        <family val="2"/>
        <scheme val="minor"/>
      </rPr>
      <t xml:space="preserve">
The Freedonia report does not include sales for each individual product type for each restaurant segment. A good example of this is that clamshell sales are not reported for the QSR segment though the narrative explains clamshells are used by QSRs. The result is that summing product sales across restaurant segments does not in all cases result in an accurate result for total sales for each product. In these cases, assumptions were necessary to fill in the gaps. Those assumptions are detailed in the product notes below. 
</t>
    </r>
  </si>
  <si>
    <r>
      <rPr>
        <b/>
        <sz val="11"/>
        <color theme="1"/>
        <rFont val="Calibri"/>
        <family val="2"/>
        <scheme val="minor"/>
      </rPr>
      <t>Product Prices</t>
    </r>
    <r>
      <rPr>
        <sz val="11"/>
        <color theme="1"/>
        <rFont val="Calibri"/>
        <family val="2"/>
        <scheme val="minor"/>
      </rPr>
      <t xml:space="preserve">
The Freedonia report did not include average unit prices for all product types, which are necessary to convert from sales to units. To fill in the gaps, data were collected from various sources to estimate average prices. Those sources include case prices found on restaurant supply websites, such as Webstaurantstore.com and McDonald Paper and Restaurant Supplies, and from retailers, such as Amazon.com and Costco. Pricing found online is typically higher than what foodservice operations pay when they purchase in bulk from distributors. Therefore, using estimated pricing may generally result in an underestimate of units sold. Estimated pricing was calculated using a straight average across a product by size and material type. For example, cold beverage cups are available in sizes ranging from 5 oz to 44 oz and are generally from paper, PLA, or plastic (PET, PP, PS, and EPS). Unit prices were found for as many sizes as possible within each material type and an average price calculated for each material. Then the average material prices were averaged to arrive at an overall average for cold cups. We did not have the benefit of sales information by product size and material type, which means we could not weight the price toward the most popular options. If the lowest cost options are generally preferred in the marketplace, then our price calculations are likely on the high side and again leading toward an underestimate of units sold.
</t>
    </r>
  </si>
  <si>
    <r>
      <rPr>
        <b/>
        <sz val="11"/>
        <color theme="1"/>
        <rFont val="Calibri"/>
        <family val="2"/>
        <scheme val="minor"/>
      </rPr>
      <t>Product Masses</t>
    </r>
    <r>
      <rPr>
        <sz val="11"/>
        <color theme="1"/>
        <rFont val="Calibri"/>
        <family val="2"/>
        <scheme val="minor"/>
      </rPr>
      <t xml:space="preserve">
Product masses were calculated similarly to product prices, with the same limitations with regard to inability to weight by popular sizes or individual product types. Additionally, individual product masses were calculated for each material type using case weights when available. Sometimes net case weights were available, sometimes only gross weights, and sometimes there was no way to determine which was provided. This may in some cases lead to overestimates of mass due to the inclusion of packaging weight. 
</t>
    </r>
  </si>
  <si>
    <r>
      <rPr>
        <b/>
        <sz val="11"/>
        <color theme="1"/>
        <rFont val="Calibri"/>
        <family val="2"/>
        <scheme val="minor"/>
      </rPr>
      <t xml:space="preserve">Material Types
</t>
    </r>
    <r>
      <rPr>
        <sz val="11"/>
        <color theme="1"/>
        <rFont val="Calibri"/>
        <family val="2"/>
        <scheme val="minor"/>
      </rPr>
      <t>The Freedonia report sections purchased do not include data on sales by product material type. To estimate number of products sold by material type (see Material % tab), we relied on the purchasing data we had as a starting point. There are a large variety of materials available for each product type and the mix of materials used is currently in flux, especially as businesses switch away from EPS foam. Based on actual purchasing lists and online product research, only certain materials appear to be common for certain product types. We only used pricing and mass data for materials commonly used for each product type. For example, polystyrene (PS) used to be commonly used for portion cup lids, but very few show up in purchasing data or in research. Research indicates that PS was more prone to cracking and generally didn’t perform as well, and now PET is the most common portion cup lid material. Therefore PS is not used in our portion cup material mix. More data on market share of materials within product type is required to improve reliability of total mass estimates.</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</si>
  <si>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Share of Products Sold to New York City Restaurants
</t>
    </r>
    <r>
      <rPr>
        <sz val="11"/>
        <color theme="1"/>
        <rFont val="Calibri"/>
        <family val="2"/>
        <scheme val="minor"/>
      </rPr>
      <t xml:space="preserve">Since the geographic scope of this project is New York City, we had to find a reasonable method for estimating what percent of national product sales can be atttributed to NYC restaurants. While national restaurant sales figures are relatively easy to find, data specific to New York City restaurants is not. As a proxy, we used the total number of restaurants in the United States available from [Statista (NPD Group)] and a list of permitted restaurants from New York City's Department of Health. The number of NYC restaurants (all five boroughs) is approximately 4.08% of the U.S. total. Multiplying national products sales by this percentage likely results in an underestimate of products sold to NYC restaurants. Based on expert interviews, it seems likely that NYC restaurants do more takeout and delivery business compared to the national average and, therefore, use a greater number of single- use products for those purposes.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</si>
  <si>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NYC EPS Foam Ban
</t>
    </r>
    <r>
      <rPr>
        <sz val="11"/>
        <color theme="1"/>
        <rFont val="Calibri"/>
        <family val="2"/>
        <scheme val="minor"/>
      </rPr>
      <t xml:space="preserve">New York City's ban on EPS foam foodservice products went into effect on January 1, 2019. The Freedonia report is based on national data rom 2016, which means it includes EPS foam in its sales and average price figures. Since this doesn't reflect 2019 reality in NYC, we excluded EPS from our baseline material data (see Material % tab). This creates at least one major issue. For example, Freedonia's average clamshell price is likely based on a large percentage of inexpensive EPS in the mix and we are still using that figure to calculate total units. While the prices of comparable products made from different materials are likely declining due to a shift away from EPS, we do not know by how much. We also do not know how much clamshells sales in dollars may have increased to reflect more expensive products, or if restaurants shifted away from clamshells to other container types (e.g., paperboard boxes, polypropylene containers with lids, or aluminum containers). Due to the uncertainty, we built two baseline scenarios to choose from, one with EPS and one without.  </t>
    </r>
    <r>
      <rPr>
        <b/>
        <sz val="11"/>
        <color theme="1"/>
        <rFont val="Calibri"/>
        <family val="2"/>
        <scheme val="minor"/>
      </rPr>
      <t xml:space="preserve"> 
</t>
    </r>
  </si>
  <si>
    <r>
      <rPr>
        <b/>
        <sz val="11"/>
        <color theme="1"/>
        <rFont val="Calibri"/>
        <family val="2"/>
        <scheme val="minor"/>
      </rPr>
      <t xml:space="preserve">Products Used On or Off Premises
</t>
    </r>
    <r>
      <rPr>
        <sz val="11"/>
        <color theme="1"/>
        <rFont val="Calibri"/>
        <family val="2"/>
        <scheme val="minor"/>
      </rPr>
      <t xml:space="preserve">Another objective of the project was to quantify products used specifically for restaurant take-out or delivery (e.g., off-premise). Data from the Freedonia Report and purchasing lists did not make this distinction and included all single-use products used for on or off premises dining. Data from Statista.com provided the percent of on (e.g., dine in) and off premise restaurant sales for limited service (e.g., QSR, fast casual, coffee shops) and full-service establishments. We combined this data with the product sales data from the Freedonia report to estimate that, in cases where products could be used for on or off premise sales, the split would be 25% on premise and 75% off premise. There are two key assumptions. First, we assume all limited-service restaurants use disposable products for on premise dining. Second, all full-service restaurant single-use products are used for off premise dining.   </t>
    </r>
    <r>
      <rPr>
        <b/>
        <sz val="11"/>
        <color theme="1"/>
        <rFont val="Calibri"/>
        <family val="2"/>
        <scheme val="minor"/>
      </rPr>
      <t xml:space="preserve">
</t>
    </r>
  </si>
  <si>
    <t>Product Level Considerations</t>
  </si>
  <si>
    <t>Products</t>
  </si>
  <si>
    <t>Container Category</t>
  </si>
  <si>
    <t xml:space="preserve">Annual total U.S. pizza boxes calculated using estimate of 2 billion pizza boxes per year in U.S. (Source: Pizza Today). Freedonia report estimates that QSR, Fast Casual, Coffee &amp; Snack, and Full Service &amp; Other segments account for 70% of foodservice disposable product sales. 70% of 2 billion is 1.4 billion pizza boxes.    </t>
  </si>
  <si>
    <t>Pizza boxes are primarily made from corrugated cardboard and clay-coated paperboard. No data was available on sales of each type, but only that: “The clay coated cardboard for pizza boxes is generally preferred by premium pizza chains consisting of smooth surface which supports easy printability. Since the key players of pizza packaging market has hardened the survival for the emerging regional players, the demand of clay coated cardboard pizza box is restricted.” (Transparency Market Research, 2018)</t>
  </si>
  <si>
    <t>Freedonia report did not provide total sales for this sub-category, but did provide total sales for for the paperboard boxes and cartons category, which includes pizza boxes. Sales figure for this sub-category was calculated by subtracting estimated pizza box sales from category total.</t>
  </si>
  <si>
    <t xml:space="preserve">We assumed all of these products are coated/lined with materials to keep the from getting soggy etc. from direct contact with food. This assumption is based primarily on the fact that most products we found in our online research were coated/lined.  </t>
  </si>
  <si>
    <r>
      <t>Clamshells and "Other Containers" come in a wide selection of materials. We based our material allocations on the best data we could find, which is from a May 2012 CalRecycle report</t>
    </r>
    <r>
      <rPr>
        <sz val="12"/>
        <color theme="1"/>
        <rFont val="Calibri"/>
        <family val="2"/>
        <scheme val="minor"/>
      </rPr>
      <t xml:space="preserve"> ("Plastic Clamshell Container Case Study: The Potential Impacts of Extended Producer Resposibility (EPR) in Californai on Global Gerenhouse Gas (GHG) Emissions," California Department of Resources Recycling and Recovery )</t>
    </r>
    <r>
      <rPr>
        <sz val="12"/>
        <color theme="1"/>
        <rFont val="Calibri"/>
        <family val="2"/>
        <scheme val="minor"/>
      </rPr>
      <t xml:space="preserve">. This report did not include molded fiber products, which have grown in popularity since that report was published. We estimated percentages for these materials based on the purchasing information we had. </t>
    </r>
  </si>
  <si>
    <t>https://www2.calrecycle.ca.gov/Publications/Details/1431</t>
  </si>
  <si>
    <r>
      <rPr>
        <b/>
        <sz val="11"/>
        <color theme="1"/>
        <rFont val="Calibri"/>
        <family val="2"/>
        <scheme val="minor"/>
      </rPr>
      <t>Key Sources</t>
    </r>
    <r>
      <rPr>
        <sz val="11"/>
        <color theme="1"/>
        <rFont val="Calibri"/>
        <family val="2"/>
        <scheme val="minor"/>
      </rPr>
      <t xml:space="preserve">
The Freedonia Group
Published in: Foodservice Single-Use Products in the US by Product and Market
https://www.freedoniagroup.com/industry-study/foodservice-single-use-products-in-the-us-by-product-and-market-3543.htm
© MarketResearch.com, Inc., 2017
Accessed via Statista.com:
</t>
    </r>
    <r>
      <rPr>
        <i/>
        <sz val="11"/>
        <color theme="1"/>
        <rFont val="Calibri"/>
        <family val="2"/>
        <scheme val="minor"/>
      </rPr>
      <t>Number of restaurants in the United States from 2011 to 2018</t>
    </r>
    <r>
      <rPr>
        <sz val="11"/>
        <color theme="1"/>
        <rFont val="Calibri"/>
        <family val="2"/>
        <scheme val="minor"/>
      </rPr>
      <t xml:space="preserve">, NPD Group, August 2018
</t>
    </r>
    <r>
      <rPr>
        <i/>
        <sz val="11"/>
        <color theme="1"/>
        <rFont val="Calibri"/>
        <family val="2"/>
        <scheme val="minor"/>
      </rPr>
      <t>Share of on and off premises sales of limited-service restaurants in the United States in 2018</t>
    </r>
    <r>
      <rPr>
        <sz val="11"/>
        <color theme="1"/>
        <rFont val="Calibri"/>
        <family val="2"/>
        <scheme val="minor"/>
      </rPr>
      <t xml:space="preserve">, Datassential; NPD Group; IFMA, August 2018
</t>
    </r>
    <r>
      <rPr>
        <i/>
        <sz val="11"/>
        <color theme="1"/>
        <rFont val="Calibri"/>
        <family val="2"/>
        <scheme val="minor"/>
      </rPr>
      <t>Share of on and off premises sales of full-service restaurants in the United States in 2018</t>
    </r>
    <r>
      <rPr>
        <sz val="11"/>
        <color theme="1"/>
        <rFont val="Calibri"/>
        <family val="2"/>
        <scheme val="minor"/>
      </rPr>
      <t xml:space="preserve">, Datassential; NPD Group; IFMA, August 2018
</t>
    </r>
    <r>
      <rPr>
        <i/>
        <sz val="11"/>
        <color theme="1"/>
        <rFont val="Calibri"/>
        <family val="2"/>
        <scheme val="minor"/>
      </rPr>
      <t>Food and drinks sales of full-service restaurants in the United States from 2009 to 2017</t>
    </r>
    <r>
      <rPr>
        <sz val="11"/>
        <color theme="1"/>
        <rFont val="Calibri"/>
        <family val="2"/>
        <scheme val="minor"/>
      </rPr>
      <t xml:space="preserve">, National Restaurant Association, May 2017 
</t>
    </r>
    <r>
      <rPr>
        <i/>
        <sz val="11"/>
        <color theme="1"/>
        <rFont val="Calibri"/>
        <family val="2"/>
        <scheme val="minor"/>
      </rPr>
      <t>Food and drink sales of limited-service restaurants in the United States from 2009 to 2017</t>
    </r>
    <r>
      <rPr>
        <sz val="11"/>
        <color theme="1"/>
        <rFont val="Calibri"/>
        <family val="2"/>
        <scheme val="minor"/>
      </rPr>
      <t>, National Restaurant Association, May 2017</t>
    </r>
    <r>
      <rPr>
        <b/>
        <sz val="11"/>
        <color theme="1"/>
        <rFont val="Calibri"/>
        <family val="2"/>
        <scheme val="minor"/>
      </rPr>
      <t xml:space="preserve">
</t>
    </r>
  </si>
  <si>
    <r>
      <t>Freedonia reported total bag sales for three of the four restaurant categories. Coffee &amp; snack</t>
    </r>
    <r>
      <rPr>
        <sz val="12"/>
        <color theme="1"/>
        <rFont val="Calibri"/>
        <family val="2"/>
        <scheme val="minor"/>
      </rPr>
      <t xml:space="preserve"> segment</t>
    </r>
    <r>
      <rPr>
        <sz val="12"/>
        <color theme="1"/>
        <rFont val="Calibri"/>
        <family val="2"/>
        <scheme val="minor"/>
      </rPr>
      <t xml:space="preserve"> was excluded, thus total bag sales is likely a slight underestimate. From Freedonia's literature we know that packaging bags were also included in this category, which are significantly different in size and material than paper or plastic carryout bags. We therefore split them out to get a better picture of each. Based on our purchasing lists, packaging bags represented about 5% of bag units sold. After calculating total bag sales with Freedonia's total sales and average price, we mutiplied by this percentage to get total carryout and packaging bag units. </t>
    </r>
  </si>
  <si>
    <r>
      <t>The Freedonia report only provides sales for total lids &amp; domes. We decided to split in more categories to provide greater insight into the category. We took a two pronged approach. First, we looked at purchasing data for lid sales as a percent of total</t>
    </r>
    <r>
      <rPr>
        <sz val="12"/>
        <color theme="1"/>
        <rFont val="Calibri"/>
        <family val="2"/>
        <scheme val="minor"/>
      </rPr>
      <t xml:space="preserve"> disposble product</t>
    </r>
    <r>
      <rPr>
        <sz val="12"/>
        <color theme="1"/>
        <rFont val="Calibri"/>
        <family val="2"/>
        <scheme val="minor"/>
      </rPr>
      <t xml:space="preserve"> spend and calculated average prices</t>
    </r>
    <r>
      <rPr>
        <sz val="12"/>
        <color theme="1"/>
        <rFont val="Calibri"/>
        <family val="2"/>
        <scheme val="minor"/>
      </rPr>
      <t xml:space="preserve"> based on online sources and product catalogs</t>
    </r>
    <r>
      <rPr>
        <sz val="12"/>
        <color theme="1"/>
        <rFont val="Calibri"/>
        <family val="2"/>
        <scheme val="minor"/>
      </rPr>
      <t>. Using these figures resulted in extremely low figures for beverage cup lid units sold compared to the relatively reliable figure calculated for beverage cups sold. Based on purchasing lists, we estimate that hot cup lid units should be around 64% of hot cup units and cold cup lids should be around 70% of cold cup units. For portions cups the figure is 86% of portion cups and for other lids it is 76% of "other container" units. Our intital low estimates are likely due to significantly higher price estimates than what are actually paid by restaurants. We therefore based our lid units sold calcualtions on the percent of related product units sold  instead of on our calculated average prices</t>
    </r>
    <r>
      <rPr>
        <sz val="12"/>
        <color theme="1"/>
        <rFont val="Calibri"/>
        <family val="2"/>
        <scheme val="minor"/>
      </rPr>
      <t>.</t>
    </r>
    <r>
      <rPr>
        <sz val="12"/>
        <color theme="1"/>
        <rFont val="Calibri"/>
        <family val="2"/>
        <scheme val="minor"/>
      </rPr>
      <t xml:space="preserve"> </t>
    </r>
    <r>
      <rPr>
        <sz val="12"/>
        <color theme="1"/>
        <rFont val="Calibri"/>
        <family val="2"/>
        <scheme val="minor"/>
      </rPr>
      <t xml:space="preserve"> </t>
    </r>
  </si>
  <si>
    <t xml:space="preserve">Material type percentages were estimated based on our purchasing list and what types of lids were commonly found in manufacturer product catalogs and for sale by online distributors/wholesalers. In general, it appears that PS lids are not very common other than for hot beverage cup lids, and that PLA lids still represent a small share of the market.   </t>
  </si>
  <si>
    <t xml:space="preserve">No data was available for the sales of these products by material type so we split the total units evenly across the material types most commonly found for these products: lined paper, EPS, molded fiber, and plant fiber. </t>
  </si>
  <si>
    <r>
      <t>Freedonia report only included total "Other" category sales. We attempted to calculate sales for a few of the common items mentioned in Freedonia literature when the product was found in our purchasing list. We estimate food trays are 1.7% of total product sales and portion cups are 1.5% of total product sales. Calculations from the purchasing list had cup sleeves at about 14% of hot cup units sold, which we believe is an underestimate but is currently the only information available</t>
    </r>
    <r>
      <rPr>
        <sz val="12"/>
        <color theme="1"/>
        <rFont val="Calibri"/>
        <family val="2"/>
        <scheme val="minor"/>
      </rPr>
      <t xml:space="preserve"> to us. </t>
    </r>
  </si>
  <si>
    <t xml:space="preserve">Data was not available with regard to the percent of paper versus plastic bags used by restaurants. We set the material % assumption at 50% each until better data can be found. </t>
  </si>
  <si>
    <r>
      <t xml:space="preserve">Except for stirrers, utensils are often individually wrapped in paper or plastic. We did not attempt to distinguish product mass from wrap mass, therefore product masses may be slighly higher than actual. For example, we calculated average PP straw mass at 1.6g based on case weights, but an unverified online source states that straws weigh 0.4g. Additionally, cutlery is frequently purchased in packages including a knife, fork, spoon, and napkin. While these are </t>
    </r>
    <r>
      <rPr>
        <sz val="12"/>
        <color theme="1"/>
        <rFont val="Calibri"/>
        <family val="2"/>
        <scheme val="minor"/>
      </rPr>
      <t xml:space="preserve">included in total utensil </t>
    </r>
    <r>
      <rPr>
        <sz val="12"/>
        <color theme="1"/>
        <rFont val="Calibri"/>
        <family val="2"/>
        <scheme val="minor"/>
      </rPr>
      <t>sales figures</t>
    </r>
    <r>
      <rPr>
        <sz val="12"/>
        <color theme="1"/>
        <rFont val="Calibri"/>
        <family val="2"/>
        <scheme val="minor"/>
      </rPr>
      <t xml:space="preserve">, we did not use </t>
    </r>
    <r>
      <rPr>
        <sz val="12"/>
        <color theme="1"/>
        <rFont val="Calibri"/>
        <family val="2"/>
        <scheme val="minor"/>
      </rPr>
      <t>packaged utensils</t>
    </r>
    <r>
      <rPr>
        <sz val="12"/>
        <color theme="1"/>
        <rFont val="Calibri"/>
        <family val="2"/>
        <scheme val="minor"/>
      </rPr>
      <t xml:space="preserve"> </t>
    </r>
    <r>
      <rPr>
        <sz val="12"/>
        <color theme="1"/>
        <rFont val="Calibri"/>
        <family val="2"/>
        <scheme val="minor"/>
      </rPr>
      <t xml:space="preserve">in </t>
    </r>
    <r>
      <rPr>
        <sz val="12"/>
        <color theme="1"/>
        <rFont val="Calibri"/>
        <family val="2"/>
        <scheme val="minor"/>
      </rPr>
      <t>average price or mass calculations, nor did we add napkins in those packages to the total napkin count.</t>
    </r>
    <r>
      <rPr>
        <sz val="12"/>
        <color theme="1"/>
        <rFont val="Calibri"/>
        <family val="2"/>
        <scheme val="minor"/>
      </rPr>
      <t xml:space="preserve">
As with most other categories, data was not available on the market share of these product by material composition and this represents a significant area of uncertainty.  </t>
    </r>
  </si>
  <si>
    <r>
      <t>To estimate number of EPS foam cups sold, we started with an EPA estimate that consumers throw away 25 billion foam cups per year and assumed 100% of these came from foodservice operations. We already calculated approximately 80 billion total cups sold nationwide for the restaurant segments in our study. Since those segments represent 70% of foodservice disposables purchasing, we then estimate a total of 115 billiion cups are sold across all foodservice. 25 billion foam cups then represents  about 22% of all cup sales. We use this 22% as our estimate of percent of EPS foam hot and cold cups in the material percentages assumptions and reduced the other materials in proportion to the assumptions in the "No EPS" scenario.</t>
    </r>
    <r>
      <rPr>
        <sz val="12"/>
        <color theme="1"/>
        <rFont val="Calibri"/>
        <family val="2"/>
        <scheme val="minor"/>
      </rPr>
      <t xml:space="preserve">
We know that paper hot and cold cups are lined with either wax, PE, or PLA, however we do not know the market share for each type of lining, which impacts recycling and composting estimates. </t>
    </r>
  </si>
  <si>
    <t xml:space="preserve">There is some uncertainty around what is categorized as a "tray." For example, we did not include products that appear to be for use in cafeteria settings, but it is possible some of those are purchased by restaurants for on premise dining.  </t>
  </si>
  <si>
    <r>
      <t xml:space="preserve">Foil laminated </t>
    </r>
    <r>
      <rPr>
        <sz val="12"/>
        <color theme="1"/>
        <rFont val="Calibri"/>
        <family val="2"/>
        <scheme val="minor"/>
      </rPr>
      <t xml:space="preserve">wraps were excluded as a material type due to lack of information. The mass is similar to other materials, but the product is not recyclable or compostable. </t>
    </r>
  </si>
  <si>
    <t>Actually Recycled</t>
  </si>
  <si>
    <t>Select (1) to use manual inputs, (2) to use Technically Recycable assumptions, or (3) for Actually Recycled assumptions:</t>
  </si>
  <si>
    <t>Select (1) to use manual inputs, (2) to use Technically Compostable assumptions, or (3) for Actually Composted assumptions:</t>
  </si>
  <si>
    <t>Actually Composted</t>
  </si>
  <si>
    <t>Plant</t>
  </si>
  <si>
    <t>Film</t>
  </si>
  <si>
    <t>Technically Recyclable in NYC</t>
  </si>
  <si>
    <t>Technically Compostable in NYC</t>
  </si>
  <si>
    <t>Select (1) to view total units used, (2) to view units used on-premise only, or (3) to view units used off-premise only:</t>
  </si>
  <si>
    <t>Enter percentage of national usage of takeout containers:</t>
  </si>
  <si>
    <t>How to Use This Model</t>
  </si>
  <si>
    <r>
      <t xml:space="preserve">This model was built for The Overbrook Foundation to investigate the annual use of foodservice disposable products by restaurants. </t>
    </r>
    <r>
      <rPr>
        <b/>
        <sz val="11"/>
        <color rgb="FFFF0000"/>
        <rFont val="Calibri"/>
        <family val="2"/>
        <scheme val="minor"/>
      </rPr>
      <t>You can customize the variables in this model to get results you can use.</t>
    </r>
    <r>
      <rPr>
        <sz val="11"/>
        <color theme="1"/>
        <rFont val="Calibri"/>
        <family val="2"/>
        <scheme val="minor"/>
      </rPr>
      <t xml:space="preserve"> You may enter alternative inputs wherever there is </t>
    </r>
    <r>
      <rPr>
        <b/>
        <sz val="11"/>
        <color rgb="FF0000FF"/>
        <rFont val="Calibri"/>
        <family val="2"/>
        <scheme val="minor"/>
      </rPr>
      <t>blue</t>
    </r>
    <r>
      <rPr>
        <sz val="11"/>
        <rFont val="Calibri"/>
        <family val="2"/>
        <scheme val="minor"/>
      </rPr>
      <t xml:space="preserve"> text and the Results pages will show updated numbers.</t>
    </r>
    <r>
      <rPr>
        <sz val="11"/>
        <color theme="1"/>
        <rFont val="Calibri"/>
        <family val="2"/>
        <scheme val="minor"/>
      </rPr>
      <t xml:space="preserve"> See below for an overview of the customizable fields and where to find them. 
I</t>
    </r>
    <r>
      <rPr>
        <b/>
        <sz val="11"/>
        <color theme="1"/>
        <rFont val="Calibri"/>
        <family val="2"/>
        <scheme val="minor"/>
      </rPr>
      <t xml:space="preserve">n both Results tabs, you can customize: 
</t>
    </r>
    <r>
      <rPr>
        <sz val="11"/>
        <color theme="1"/>
        <rFont val="Calibri"/>
        <family val="2"/>
        <scheme val="minor"/>
      </rPr>
      <t xml:space="preserve">- </t>
    </r>
    <r>
      <rPr>
        <b/>
        <sz val="11"/>
        <color theme="1"/>
        <rFont val="Calibri"/>
        <family val="2"/>
        <scheme val="minor"/>
      </rPr>
      <t>Mass units</t>
    </r>
    <r>
      <rPr>
        <sz val="11"/>
        <color theme="1"/>
        <rFont val="Calibri"/>
        <family val="2"/>
        <scheme val="minor"/>
      </rPr>
      <t xml:space="preserve">: You can choose Metric tons, Kilograms, Short tons, or Pounds
- </t>
    </r>
    <r>
      <rPr>
        <b/>
        <sz val="11"/>
        <color theme="1"/>
        <rFont val="Calibri"/>
        <family val="2"/>
        <scheme val="minor"/>
      </rPr>
      <t>Where the food was consumed</t>
    </r>
    <r>
      <rPr>
        <sz val="11"/>
        <color theme="1"/>
        <rFont val="Calibri"/>
        <family val="2"/>
        <scheme val="minor"/>
      </rPr>
      <t xml:space="preserve">: You can choose On premise only, Off premise only, or All units
</t>
    </r>
    <r>
      <rPr>
        <b/>
        <sz val="11"/>
        <color theme="1"/>
        <rFont val="Calibri"/>
        <family val="2"/>
        <scheme val="minor"/>
      </rPr>
      <t xml:space="preserve">
In the NYC Results tab, you can customize:</t>
    </r>
    <r>
      <rPr>
        <sz val="11"/>
        <color theme="1"/>
        <rFont val="Calibri"/>
        <family val="2"/>
        <scheme val="minor"/>
      </rPr>
      <t xml:space="preserve">
- </t>
    </r>
    <r>
      <rPr>
        <b/>
        <sz val="11"/>
        <color theme="1"/>
        <rFont val="Calibri"/>
        <family val="2"/>
        <scheme val="minor"/>
      </rPr>
      <t>The portion of the US you want to model to reflect</t>
    </r>
    <r>
      <rPr>
        <sz val="11"/>
        <color theme="1"/>
        <rFont val="Calibri"/>
        <family val="2"/>
        <scheme val="minor"/>
      </rPr>
      <t xml:space="preserve">. You can use the "% of national usage" to scale to any US city or other geography based on population, share of restaurants, or other ideas.
</t>
    </r>
    <r>
      <rPr>
        <b/>
        <sz val="11"/>
        <color theme="1"/>
        <rFont val="Calibri"/>
        <family val="2"/>
        <scheme val="minor"/>
      </rPr>
      <t xml:space="preserve">In the User Inputs tabs: 
- Total Units Used by Product Type: </t>
    </r>
    <r>
      <rPr>
        <sz val="11"/>
        <color theme="1"/>
        <rFont val="Calibri"/>
        <family val="2"/>
        <scheme val="minor"/>
      </rPr>
      <t>You can change the total number of units for each product type in Column H "Starting Assumptions" in the On or Off Premise tab.</t>
    </r>
    <r>
      <rPr>
        <b/>
        <sz val="11"/>
        <color theme="1"/>
        <rFont val="Calibri"/>
        <family val="2"/>
        <scheme val="minor"/>
      </rPr>
      <t xml:space="preserve">
- On or Off Premise: </t>
    </r>
    <r>
      <rPr>
        <sz val="11"/>
        <color theme="1"/>
        <rFont val="Calibri"/>
        <family val="2"/>
        <scheme val="minor"/>
      </rPr>
      <t xml:space="preserve">You can change the percentage of units for each product type that are used on premise vs off-premise in the On or Off Premise tab.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Material mix</t>
    </r>
    <r>
      <rPr>
        <sz val="11"/>
        <color theme="1"/>
        <rFont val="Calibri"/>
        <family val="2"/>
        <scheme val="minor"/>
      </rPr>
      <t xml:space="preserve">: You can choose to use manual inputs (you can enter your own numbers), baseline assumptions (which include EPS), or baseline assumptions without EPS foam. This is in the Material % tab. 
- </t>
    </r>
    <r>
      <rPr>
        <b/>
        <sz val="11"/>
        <color theme="1"/>
        <rFont val="Calibri"/>
        <family val="2"/>
        <scheme val="minor"/>
      </rPr>
      <t>Increase or decrease in products used:</t>
    </r>
    <r>
      <rPr>
        <sz val="11"/>
        <color theme="1"/>
        <rFont val="Calibri"/>
        <family val="2"/>
        <scheme val="minor"/>
      </rPr>
      <t xml:space="preserve"> You can model growth or reductions in product usage by inputting numbers for the Material Percentages by product type that add up to more than 100% total.
- </t>
    </r>
    <r>
      <rPr>
        <b/>
        <sz val="11"/>
        <color theme="1"/>
        <rFont val="Calibri"/>
        <family val="2"/>
        <scheme val="minor"/>
      </rPr>
      <t>Recycling:</t>
    </r>
    <r>
      <rPr>
        <sz val="11"/>
        <color theme="1"/>
        <rFont val="Calibri"/>
        <family val="2"/>
        <scheme val="minor"/>
      </rPr>
      <t xml:space="preserve"> You can choose between manual inputs or baseline assumptions to inform the calculation of how much of each product type of each material can be or is being recycled (you can model either).
- </t>
    </r>
    <r>
      <rPr>
        <b/>
        <sz val="11"/>
        <color theme="1"/>
        <rFont val="Calibri"/>
        <family val="2"/>
        <scheme val="minor"/>
      </rPr>
      <t xml:space="preserve">Composting: </t>
    </r>
    <r>
      <rPr>
        <sz val="11"/>
        <color theme="1"/>
        <rFont val="Calibri"/>
        <family val="2"/>
        <scheme val="minor"/>
      </rPr>
      <t xml:space="preserve">You  can choose between manual inputs or baseline assumptions to inform the calculation of how much of each product type of each material can be composted or is being composted (you can model either).
We hope this is a useful tool! Enjoy!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</si>
</sst>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_);\(#,##0.0\)"/>
    <numFmt numFmtId="167" formatCode="0.0%"/>
    <numFmt numFmtId="168" formatCode="_(* #,##0.00000_);_(* \(#,##0.00000\);_(* &quot;-&quot;??_);_(@_)"/>
  </numFmts>
  <fonts count="3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0"/>
      <name val="Arial"/>
      <family val="2"/>
    </font>
    <font>
      <b/>
      <sz val="12"/>
      <name val="Calibri"/>
      <family val="2"/>
      <scheme val="minor"/>
    </font>
    <font>
      <b/>
      <sz val="12"/>
      <color theme="0"/>
      <name val="Calibri"/>
      <family val="2"/>
      <scheme val="minor"/>
    </font>
    <font>
      <sz val="14"/>
      <color theme="0"/>
      <name val="Calibri"/>
      <family val="2"/>
      <scheme val="minor"/>
    </font>
    <font>
      <b/>
      <sz val="14"/>
      <color theme="0"/>
      <name val="Calibri"/>
      <family val="2"/>
      <scheme val="minor"/>
    </font>
    <font>
      <sz val="11"/>
      <color rgb="FF0000FF"/>
      <name val="Calibri"/>
      <family val="2"/>
      <scheme val="minor"/>
    </font>
    <font>
      <i/>
      <sz val="10"/>
      <name val="Calibri"/>
      <family val="2"/>
      <scheme val="minor"/>
    </font>
    <font>
      <i/>
      <sz val="10"/>
      <color rgb="FF0000FF"/>
      <name val="Calibri"/>
      <family val="2"/>
      <scheme val="minor"/>
    </font>
    <font>
      <b/>
      <sz val="11"/>
      <color rgb="FF0000FF"/>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0"/>
      <name val="Arial"/>
      <family val="2"/>
    </font>
    <font>
      <b/>
      <sz val="11"/>
      <color theme="0"/>
      <name val="Calibri"/>
      <family val="2"/>
      <scheme val="minor"/>
    </font>
    <font>
      <sz val="11"/>
      <color rgb="FFFF0000"/>
      <name val="Calibri"/>
      <family val="2"/>
      <scheme val="minor"/>
    </font>
    <font>
      <b/>
      <sz val="12"/>
      <color theme="1"/>
      <name val="Calibri"/>
      <family val="2"/>
      <scheme val="minor"/>
    </font>
    <font>
      <i/>
      <sz val="11"/>
      <name val="Calibri"/>
      <family val="2"/>
      <scheme val="minor"/>
    </font>
    <font>
      <u/>
      <sz val="11"/>
      <name val="Calibri"/>
      <family val="2"/>
      <scheme val="minor"/>
    </font>
    <font>
      <u/>
      <sz val="11"/>
      <color theme="1"/>
      <name val="Calibri"/>
      <family val="2"/>
      <scheme val="minor"/>
    </font>
    <font>
      <b/>
      <sz val="14"/>
      <name val="Calibri"/>
      <family val="2"/>
      <scheme val="minor"/>
    </font>
    <font>
      <i/>
      <u val="singleAccounting"/>
      <sz val="12"/>
      <name val="Calibri"/>
      <family val="2"/>
      <scheme val="minor"/>
    </font>
    <font>
      <i/>
      <sz val="12"/>
      <name val="Calibri"/>
      <family val="2"/>
      <scheme val="minor"/>
    </font>
    <font>
      <i/>
      <sz val="11"/>
      <color theme="1"/>
      <name val="Calibri"/>
      <family val="2"/>
      <scheme val="minor"/>
    </font>
    <font>
      <sz val="9"/>
      <color indexed="81"/>
      <name val="Tahoma"/>
      <family val="2"/>
    </font>
    <font>
      <sz val="8"/>
      <name val="Calibri"/>
      <family val="2"/>
      <scheme val="minor"/>
    </font>
    <font>
      <sz val="12"/>
      <name val="Calibri"/>
      <scheme val="minor"/>
    </font>
    <font>
      <u/>
      <sz val="12"/>
      <color theme="10"/>
      <name val="Calibri"/>
      <scheme val="minor"/>
    </font>
    <font>
      <b/>
      <sz val="11"/>
      <color rgb="FFFF0000"/>
      <name val="Calibri"/>
      <family val="2"/>
      <scheme val="minor"/>
    </font>
  </fonts>
  <fills count="10">
    <fill>
      <patternFill patternType="none"/>
    </fill>
    <fill>
      <patternFill patternType="gray125"/>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66">
    <border>
      <left/>
      <right/>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right/>
      <top/>
      <bottom style="thin">
        <color auto="1"/>
      </bottom>
      <diagonal/>
    </border>
    <border>
      <left style="thin">
        <color theme="9" tint="-0.24994659260841701"/>
      </left>
      <right/>
      <top/>
      <bottom/>
      <diagonal/>
    </border>
    <border>
      <left style="thin">
        <color theme="9" tint="-0.24994659260841701"/>
      </left>
      <right/>
      <top style="medium">
        <color theme="9" tint="-0.24994659260841701"/>
      </top>
      <bottom/>
      <diagonal/>
    </border>
    <border>
      <left style="thin">
        <color theme="9" tint="-0.24994659260841701"/>
      </left>
      <right/>
      <top/>
      <bottom style="medium">
        <color theme="9" tint="-0.24994659260841701"/>
      </bottom>
      <diagonal/>
    </border>
    <border>
      <left style="dotted">
        <color theme="9" tint="-0.24994659260841701"/>
      </left>
      <right style="thin">
        <color theme="9" tint="-0.24994659260841701"/>
      </right>
      <top/>
      <bottom/>
      <diagonal/>
    </border>
    <border>
      <left style="dotted">
        <color theme="9" tint="-0.24994659260841701"/>
      </left>
      <right style="thin">
        <color theme="9" tint="-0.24994659260841701"/>
      </right>
      <top style="medium">
        <color theme="9" tint="-0.24994659260841701"/>
      </top>
      <bottom/>
      <diagonal/>
    </border>
    <border>
      <left style="dotted">
        <color theme="9" tint="-0.24994659260841701"/>
      </left>
      <right style="thin">
        <color theme="9" tint="-0.24994659260841701"/>
      </right>
      <top/>
      <bottom style="medium">
        <color theme="9" tint="-0.24994659260841701"/>
      </bottom>
      <diagonal/>
    </border>
    <border>
      <left style="dotted">
        <color theme="9" tint="-0.24994659260841701"/>
      </left>
      <right style="thin">
        <color theme="9" tint="-0.24994659260841701"/>
      </right>
      <top style="medium">
        <color theme="9" tint="-0.24994659260841701"/>
      </top>
      <bottom style="medium">
        <color theme="9" tint="-0.24994659260841701"/>
      </bottom>
      <diagonal/>
    </border>
    <border>
      <left style="double">
        <color theme="9" tint="-0.24994659260841701"/>
      </left>
      <right style="medium">
        <color theme="9" tint="-0.24994659260841701"/>
      </right>
      <top style="medium">
        <color theme="9" tint="-0.24994659260841701"/>
      </top>
      <bottom style="medium">
        <color theme="9" tint="-0.24994659260841701"/>
      </bottom>
      <diagonal/>
    </border>
    <border>
      <left style="double">
        <color theme="9" tint="-0.24994659260841701"/>
      </left>
      <right style="medium">
        <color theme="9" tint="-0.24994659260841701"/>
      </right>
      <top style="medium">
        <color theme="9" tint="-0.24994659260841701"/>
      </top>
      <bottom/>
      <diagonal/>
    </border>
    <border>
      <left style="double">
        <color theme="9" tint="-0.24994659260841701"/>
      </left>
      <right style="medium">
        <color theme="9" tint="-0.24994659260841701"/>
      </right>
      <top/>
      <bottom style="medium">
        <color theme="9" tint="-0.24994659260841701"/>
      </bottom>
      <diagonal/>
    </border>
    <border>
      <left style="double">
        <color theme="9" tint="-0.24994659260841701"/>
      </left>
      <right style="medium">
        <color theme="9" tint="-0.24994659260841701"/>
      </right>
      <top/>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style="thin">
        <color theme="9" tint="-0.24994659260841701"/>
      </left>
      <right/>
      <top style="medium">
        <color theme="9" tint="-0.24994659260841701"/>
      </top>
      <bottom style="medium">
        <color theme="9" tint="-0.24994659260841701"/>
      </bottom>
      <diagonal/>
    </border>
    <border>
      <left/>
      <right style="thin">
        <color theme="9" tint="-0.24994659260841701"/>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thin">
        <color theme="9" tint="-0.24994659260841701"/>
      </left>
      <right/>
      <top/>
      <bottom style="thin">
        <color auto="1"/>
      </bottom>
      <diagonal/>
    </border>
    <border>
      <left style="dotted">
        <color theme="9" tint="-0.24994659260841701"/>
      </left>
      <right style="thin">
        <color theme="9" tint="-0.24994659260841701"/>
      </right>
      <top/>
      <bottom style="thin">
        <color auto="1"/>
      </bottom>
      <diagonal/>
    </border>
    <border>
      <left style="double">
        <color theme="9" tint="-0.24994659260841701"/>
      </left>
      <right style="medium">
        <color theme="9" tint="-0.24994659260841701"/>
      </right>
      <top/>
      <bottom style="thin">
        <color auto="1"/>
      </bottom>
      <diagonal/>
    </border>
    <border>
      <left style="medium">
        <color theme="9" tint="-0.24994659260841701"/>
      </left>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top/>
      <bottom style="thin">
        <color auto="1"/>
      </bottom>
      <diagonal/>
    </border>
    <border>
      <left/>
      <right style="thin">
        <color auto="1"/>
      </right>
      <top style="medium">
        <color theme="9" tint="-0.24994659260841701"/>
      </top>
      <bottom/>
      <diagonal/>
    </border>
    <border>
      <left/>
      <right style="thin">
        <color auto="1"/>
      </right>
      <top/>
      <bottom style="medium">
        <color theme="9" tint="-0.24994659260841701"/>
      </bottom>
      <diagonal/>
    </border>
    <border>
      <left/>
      <right style="thin">
        <color auto="1"/>
      </right>
      <top/>
      <bottom/>
      <diagonal/>
    </border>
    <border>
      <left/>
      <right style="thin">
        <color theme="9" tint="-0.24994659260841701"/>
      </right>
      <top/>
      <bottom/>
      <diagonal/>
    </border>
    <border>
      <left style="thin">
        <color theme="0"/>
      </left>
      <right/>
      <top/>
      <bottom/>
      <diagonal/>
    </border>
    <border>
      <left/>
      <right style="thin">
        <color theme="9" tint="-0.24994659260841701"/>
      </right>
      <top/>
      <bottom style="dotted">
        <color theme="9" tint="-0.24994659260841701"/>
      </bottom>
      <diagonal/>
    </border>
    <border>
      <left style="thin">
        <color theme="9" tint="-0.24994659260841701"/>
      </left>
      <right/>
      <top/>
      <bottom style="dotted">
        <color theme="9" tint="-0.24994659260841701"/>
      </bottom>
      <diagonal/>
    </border>
    <border>
      <left/>
      <right style="thin">
        <color theme="9" tint="-0.24994659260841701"/>
      </right>
      <top style="dotted">
        <color theme="9" tint="-0.24994659260841701"/>
      </top>
      <bottom style="dotted">
        <color theme="9" tint="-0.24994659260841701"/>
      </bottom>
      <diagonal/>
    </border>
    <border>
      <left style="thin">
        <color theme="9" tint="-0.24994659260841701"/>
      </left>
      <right/>
      <top style="dotted">
        <color theme="9" tint="-0.24994659260841701"/>
      </top>
      <bottom style="dotted">
        <color theme="9" tint="-0.24994659260841701"/>
      </bottom>
      <diagonal/>
    </border>
    <border>
      <left/>
      <right style="thin">
        <color theme="9" tint="-0.24994659260841701"/>
      </right>
      <top style="dotted">
        <color theme="9" tint="-0.24994659260841701"/>
      </top>
      <bottom/>
      <diagonal/>
    </border>
    <border>
      <left style="thin">
        <color theme="9" tint="-0.24994659260841701"/>
      </left>
      <right/>
      <top style="dotted">
        <color theme="9" tint="-0.24994659260841701"/>
      </top>
      <bottom/>
      <diagonal/>
    </border>
    <border>
      <left/>
      <right style="thin">
        <color theme="9" tint="-0.24994659260841701"/>
      </right>
      <top/>
      <bottom style="medium">
        <color theme="9" tint="-0.24994659260841701"/>
      </bottom>
      <diagonal/>
    </border>
    <border>
      <left/>
      <right style="thin">
        <color theme="9" tint="-0.24994659260841701"/>
      </right>
      <top style="medium">
        <color theme="9" tint="-0.2499465926084170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rgb="FF008000"/>
      </left>
      <right style="thin">
        <color rgb="FF008000"/>
      </right>
      <top style="thin">
        <color rgb="FF008000"/>
      </top>
      <bottom style="thin">
        <color rgb="FF008000"/>
      </bottom>
      <diagonal/>
    </border>
    <border>
      <left style="medium">
        <color theme="9" tint="-0.24994659260841701"/>
      </left>
      <right style="thin">
        <color rgb="FF008000"/>
      </right>
      <top style="thin">
        <color rgb="FF008000"/>
      </top>
      <bottom style="thin">
        <color rgb="FF008000"/>
      </bottom>
      <diagonal/>
    </border>
    <border>
      <left style="thin">
        <color rgb="FF008000"/>
      </left>
      <right style="medium">
        <color theme="9" tint="-0.24994659260841701"/>
      </right>
      <top style="thin">
        <color rgb="FF008000"/>
      </top>
      <bottom style="thin">
        <color rgb="FF008000"/>
      </bottom>
      <diagonal/>
    </border>
    <border>
      <left style="thin">
        <color rgb="FF008000"/>
      </left>
      <right style="medium">
        <color theme="9" tint="-0.24994659260841701"/>
      </right>
      <top style="thin">
        <color rgb="FF008000"/>
      </top>
      <bottom/>
      <diagonal/>
    </border>
    <border>
      <left style="thin">
        <color rgb="FF008000"/>
      </left>
      <right style="medium">
        <color theme="9" tint="-0.24994659260841701"/>
      </right>
      <top/>
      <bottom style="thin">
        <color rgb="FF008000"/>
      </bottom>
      <diagonal/>
    </border>
    <border>
      <left style="thin">
        <color rgb="FF008000"/>
      </left>
      <right style="thin">
        <color rgb="FF008000"/>
      </right>
      <top style="thin">
        <color rgb="FF008000"/>
      </top>
      <bottom/>
      <diagonal/>
    </border>
    <border>
      <left style="thin">
        <color rgb="FF008000"/>
      </left>
      <right style="thin">
        <color rgb="FF008000"/>
      </right>
      <top/>
      <bottom style="thin">
        <color rgb="FF008000"/>
      </bottom>
      <diagonal/>
    </border>
    <border>
      <left style="thin">
        <color rgb="FF008000"/>
      </left>
      <right style="thin">
        <color rgb="FF008000"/>
      </right>
      <top/>
      <bottom/>
      <diagonal/>
    </border>
    <border>
      <left/>
      <right style="double">
        <color theme="9" tint="-0.24994659260841701"/>
      </right>
      <top style="medium">
        <color theme="9" tint="-0.24994659260841701"/>
      </top>
      <bottom/>
      <diagonal/>
    </border>
    <border>
      <left/>
      <right style="thin">
        <color auto="1"/>
      </right>
      <top style="medium">
        <color theme="9" tint="-0.24994659260841701"/>
      </top>
      <bottom style="medium">
        <color theme="9" tint="-0.24994659260841701"/>
      </bottom>
      <diagonal/>
    </border>
    <border>
      <left/>
      <right style="double">
        <color theme="9" tint="-0.24994659260841701"/>
      </right>
      <top style="medium">
        <color theme="9" tint="-0.24994659260841701"/>
      </top>
      <bottom style="medium">
        <color theme="9" tint="-0.24994659260841701"/>
      </bottom>
      <diagonal/>
    </border>
  </borders>
  <cellStyleXfs count="1222">
    <xf numFmtId="0" fontId="0" fillId="0" borderId="0"/>
    <xf numFmtId="9" fontId="5" fillId="0" borderId="0" applyFont="0" applyFill="0" applyBorder="0" applyAlignment="0" applyProtection="0"/>
    <xf numFmtId="0" fontId="12" fillId="2" borderId="0"/>
    <xf numFmtId="0" fontId="10" fillId="3" borderId="0"/>
    <xf numFmtId="43" fontId="5"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388">
    <xf numFmtId="0" fontId="0" fillId="0" borderId="0" xfId="0"/>
    <xf numFmtId="0" fontId="7" fillId="0" borderId="0" xfId="0" applyFont="1"/>
    <xf numFmtId="0" fontId="7" fillId="0" borderId="0" xfId="0" applyFont="1" applyAlignment="1">
      <alignment horizontal="left"/>
    </xf>
    <xf numFmtId="0" fontId="8" fillId="0" borderId="0" xfId="0" applyFont="1" applyAlignment="1">
      <alignment horizontal="left"/>
    </xf>
    <xf numFmtId="0" fontId="11" fillId="2" borderId="0" xfId="0" applyFont="1" applyFill="1"/>
    <xf numFmtId="0" fontId="12" fillId="2" borderId="0" xfId="0" applyFont="1" applyFill="1"/>
    <xf numFmtId="0" fontId="14" fillId="0" borderId="0" xfId="0" applyFont="1"/>
    <xf numFmtId="0" fontId="8" fillId="4" borderId="0" xfId="0" applyFont="1" applyFill="1"/>
    <xf numFmtId="0" fontId="0" fillId="4" borderId="0" xfId="0" applyFill="1"/>
    <xf numFmtId="0" fontId="7" fillId="4" borderId="0" xfId="0" applyFont="1" applyFill="1"/>
    <xf numFmtId="0" fontId="8" fillId="4" borderId="0" xfId="0" applyFont="1" applyFill="1" applyAlignment="1">
      <alignment horizontal="left"/>
    </xf>
    <xf numFmtId="0" fontId="7" fillId="4" borderId="0" xfId="0" applyFont="1" applyFill="1" applyAlignment="1">
      <alignment horizontal="left"/>
    </xf>
    <xf numFmtId="0" fontId="7" fillId="3" borderId="2" xfId="0" applyFont="1" applyFill="1" applyBorder="1"/>
    <xf numFmtId="0" fontId="7" fillId="0" borderId="4" xfId="0" applyFont="1" applyBorder="1"/>
    <xf numFmtId="0" fontId="7" fillId="0" borderId="4" xfId="0" applyFont="1" applyBorder="1" applyAlignment="1">
      <alignment horizontal="left"/>
    </xf>
    <xf numFmtId="0" fontId="7" fillId="0" borderId="7" xfId="0" applyFont="1" applyBorder="1" applyAlignment="1">
      <alignment horizontal="left"/>
    </xf>
    <xf numFmtId="0" fontId="7" fillId="0" borderId="7" xfId="0" applyFont="1" applyBorder="1"/>
    <xf numFmtId="0" fontId="11" fillId="2" borderId="0" xfId="0" applyFont="1" applyFill="1" applyAlignment="1">
      <alignment horizontal="center"/>
    </xf>
    <xf numFmtId="0" fontId="7" fillId="0" borderId="0" xfId="0" applyFont="1" applyAlignment="1">
      <alignment horizontal="center"/>
    </xf>
    <xf numFmtId="0" fontId="7" fillId="3" borderId="2" xfId="0" applyFont="1" applyFill="1" applyBorder="1" applyAlignment="1">
      <alignment horizontal="center"/>
    </xf>
    <xf numFmtId="0" fontId="7" fillId="4" borderId="0" xfId="0" applyFont="1" applyFill="1" applyAlignment="1">
      <alignment horizontal="center"/>
    </xf>
    <xf numFmtId="164" fontId="7" fillId="0" borderId="0" xfId="1" applyNumberFormat="1" applyFont="1" applyAlignment="1">
      <alignment horizontal="center"/>
    </xf>
    <xf numFmtId="164" fontId="7" fillId="4" borderId="0" xfId="1" applyNumberFormat="1" applyFont="1" applyFill="1" applyAlignment="1">
      <alignment horizontal="center"/>
    </xf>
    <xf numFmtId="164" fontId="7" fillId="0" borderId="7" xfId="1" applyNumberFormat="1" applyFont="1" applyBorder="1" applyAlignment="1">
      <alignment horizontal="center"/>
    </xf>
    <xf numFmtId="9" fontId="0" fillId="0" borderId="0" xfId="1" applyFont="1" applyAlignment="1">
      <alignment horizontal="center"/>
    </xf>
    <xf numFmtId="164" fontId="13" fillId="0" borderId="0" xfId="1" applyNumberFormat="1" applyFont="1" applyAlignment="1">
      <alignment horizontal="center"/>
    </xf>
    <xf numFmtId="164" fontId="13" fillId="4" borderId="0" xfId="1" applyNumberFormat="1" applyFont="1" applyFill="1" applyAlignment="1">
      <alignment horizontal="center"/>
    </xf>
    <xf numFmtId="164" fontId="13" fillId="0" borderId="7" xfId="1" applyNumberFormat="1" applyFont="1" applyBorder="1" applyAlignment="1">
      <alignment horizontal="center"/>
    </xf>
    <xf numFmtId="0" fontId="9" fillId="0" borderId="2" xfId="0" applyFont="1" applyBorder="1" applyAlignment="1">
      <alignment horizontal="center"/>
    </xf>
    <xf numFmtId="0" fontId="9" fillId="0" borderId="7" xfId="0" applyFont="1" applyBorder="1" applyAlignment="1">
      <alignment horizontal="center"/>
    </xf>
    <xf numFmtId="0" fontId="12" fillId="2" borderId="0" xfId="2"/>
    <xf numFmtId="0" fontId="0" fillId="0" borderId="0" xfId="0" applyAlignment="1">
      <alignment horizontal="center"/>
    </xf>
    <xf numFmtId="0" fontId="16" fillId="5" borderId="9" xfId="0" applyFont="1" applyFill="1" applyBorder="1" applyAlignment="1">
      <alignment horizontal="center"/>
    </xf>
    <xf numFmtId="0" fontId="12" fillId="2" borderId="0" xfId="0" applyFont="1" applyFill="1" applyAlignment="1">
      <alignment horizontal="center"/>
    </xf>
    <xf numFmtId="0" fontId="17" fillId="0" borderId="0" xfId="0" applyFont="1" applyAlignment="1">
      <alignment horizontal="center"/>
    </xf>
    <xf numFmtId="9" fontId="6" fillId="0" borderId="0" xfId="1" applyFont="1" applyAlignment="1">
      <alignment horizontal="center"/>
    </xf>
    <xf numFmtId="0" fontId="6" fillId="0" borderId="0" xfId="0" applyFont="1"/>
    <xf numFmtId="0" fontId="7" fillId="0" borderId="0" xfId="0" applyFont="1" applyAlignment="1">
      <alignment horizontal="centerContinuous"/>
    </xf>
    <xf numFmtId="0" fontId="7" fillId="0" borderId="6" xfId="0" applyFont="1" applyBorder="1" applyAlignment="1">
      <alignment horizontal="left"/>
    </xf>
    <xf numFmtId="0" fontId="6" fillId="0" borderId="7" xfId="0" applyFont="1" applyBorder="1"/>
    <xf numFmtId="0" fontId="6" fillId="0" borderId="7" xfId="0" applyFont="1" applyBorder="1" applyAlignment="1">
      <alignment horizontal="center"/>
    </xf>
    <xf numFmtId="0" fontId="6" fillId="0" borderId="2" xfId="0" applyFont="1" applyBorder="1"/>
    <xf numFmtId="0" fontId="6" fillId="0" borderId="2" xfId="0" applyFont="1" applyBorder="1" applyAlignment="1">
      <alignment horizontal="center"/>
    </xf>
    <xf numFmtId="0" fontId="17" fillId="0" borderId="0" xfId="0" applyFont="1"/>
    <xf numFmtId="0" fontId="17" fillId="0" borderId="0" xfId="0" applyFont="1" applyAlignment="1">
      <alignment horizontal="left"/>
    </xf>
    <xf numFmtId="0" fontId="5" fillId="0" borderId="0" xfId="0" applyFont="1"/>
    <xf numFmtId="0" fontId="10" fillId="3" borderId="0" xfId="3"/>
    <xf numFmtId="0" fontId="7" fillId="0" borderId="10" xfId="0" applyFont="1" applyBorder="1" applyAlignment="1">
      <alignment horizontal="left"/>
    </xf>
    <xf numFmtId="0" fontId="7" fillId="0" borderId="10" xfId="0" applyFont="1" applyBorder="1"/>
    <xf numFmtId="37" fontId="7" fillId="0" borderId="10" xfId="1" applyNumberFormat="1" applyFont="1" applyBorder="1" applyAlignment="1">
      <alignment horizontal="center"/>
    </xf>
    <xf numFmtId="0" fontId="7" fillId="4" borderId="11" xfId="0" applyFont="1" applyFill="1" applyBorder="1" applyAlignment="1">
      <alignment horizontal="center"/>
    </xf>
    <xf numFmtId="164" fontId="7" fillId="4" borderId="11" xfId="1" applyNumberFormat="1" applyFont="1" applyFill="1" applyBorder="1" applyAlignment="1">
      <alignment horizontal="center"/>
    </xf>
    <xf numFmtId="164" fontId="7" fillId="0" borderId="11" xfId="1" applyNumberFormat="1" applyFont="1" applyBorder="1" applyAlignment="1">
      <alignment horizontal="center"/>
    </xf>
    <xf numFmtId="0" fontId="17" fillId="0" borderId="2" xfId="0" applyFont="1" applyBorder="1" applyAlignment="1">
      <alignment horizontal="center"/>
    </xf>
    <xf numFmtId="165" fontId="17" fillId="4" borderId="0" xfId="0" applyNumberFormat="1" applyFont="1" applyFill="1" applyAlignment="1">
      <alignment horizontal="center"/>
    </xf>
    <xf numFmtId="0" fontId="7" fillId="0" borderId="0" xfId="0" applyFont="1" applyFill="1"/>
    <xf numFmtId="0" fontId="0" fillId="0" borderId="0" xfId="0" applyFill="1"/>
    <xf numFmtId="0" fontId="9" fillId="0" borderId="12"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7" fillId="4" borderId="0" xfId="0" applyFont="1" applyFill="1" applyBorder="1" applyAlignment="1">
      <alignment horizontal="center"/>
    </xf>
    <xf numFmtId="164" fontId="7" fillId="0" borderId="0" xfId="1" applyNumberFormat="1" applyFont="1" applyBorder="1" applyAlignment="1">
      <alignment horizontal="center"/>
    </xf>
    <xf numFmtId="164" fontId="7" fillId="4" borderId="0" xfId="1" applyNumberFormat="1" applyFont="1" applyFill="1" applyBorder="1" applyAlignment="1">
      <alignment horizontal="center"/>
    </xf>
    <xf numFmtId="164" fontId="7" fillId="0" borderId="13" xfId="1" applyNumberFormat="1" applyFont="1" applyBorder="1" applyAlignment="1">
      <alignment horizontal="center"/>
    </xf>
    <xf numFmtId="0" fontId="7" fillId="0" borderId="0" xfId="0" applyFont="1" applyBorder="1"/>
    <xf numFmtId="0" fontId="9" fillId="0" borderId="0" xfId="0" applyFont="1"/>
    <xf numFmtId="0" fontId="9" fillId="0" borderId="2" xfId="0" applyFont="1" applyBorder="1"/>
    <xf numFmtId="0" fontId="9" fillId="0" borderId="6" xfId="0" applyFont="1" applyBorder="1"/>
    <xf numFmtId="0" fontId="9" fillId="0" borderId="7" xfId="0" applyFont="1" applyBorder="1"/>
    <xf numFmtId="0" fontId="9" fillId="0" borderId="15" xfId="0" applyFont="1" applyBorder="1" applyAlignment="1">
      <alignment horizontal="center"/>
    </xf>
    <xf numFmtId="0" fontId="9" fillId="0" borderId="16" xfId="0" applyFont="1" applyBorder="1" applyAlignment="1">
      <alignment horizontal="center"/>
    </xf>
    <xf numFmtId="9" fontId="17" fillId="4" borderId="21" xfId="1" applyFont="1" applyFill="1" applyBorder="1" applyAlignment="1">
      <alignment horizontal="center"/>
    </xf>
    <xf numFmtId="0" fontId="0" fillId="0" borderId="0" xfId="0" applyBorder="1"/>
    <xf numFmtId="0" fontId="7" fillId="0" borderId="0" xfId="0" applyFont="1" applyBorder="1" applyAlignment="1">
      <alignment horizontal="left"/>
    </xf>
    <xf numFmtId="37" fontId="7" fillId="0" borderId="0" xfId="1" applyNumberFormat="1" applyFont="1" applyBorder="1" applyAlignment="1">
      <alignment horizontal="center"/>
    </xf>
    <xf numFmtId="0" fontId="17" fillId="0" borderId="0" xfId="0" applyFont="1" applyBorder="1" applyAlignment="1">
      <alignment horizontal="left"/>
    </xf>
    <xf numFmtId="0" fontId="0" fillId="0" borderId="0" xfId="0" applyFont="1"/>
    <xf numFmtId="0" fontId="0" fillId="4" borderId="0" xfId="0" applyFont="1" applyFill="1"/>
    <xf numFmtId="0" fontId="0" fillId="0" borderId="0" xfId="0" applyFont="1" applyBorder="1"/>
    <xf numFmtId="0" fontId="12" fillId="2" borderId="0" xfId="2" applyFont="1"/>
    <xf numFmtId="0" fontId="10" fillId="3" borderId="1" xfId="3" applyFont="1" applyBorder="1"/>
    <xf numFmtId="0" fontId="10" fillId="3" borderId="2" xfId="3" applyFont="1" applyBorder="1"/>
    <xf numFmtId="0" fontId="10" fillId="3" borderId="3" xfId="3" applyFont="1" applyBorder="1"/>
    <xf numFmtId="0" fontId="0" fillId="3" borderId="2" xfId="0" applyFont="1" applyFill="1" applyBorder="1"/>
    <xf numFmtId="0" fontId="17" fillId="4" borderId="4" xfId="0" applyFont="1" applyFill="1" applyBorder="1"/>
    <xf numFmtId="0" fontId="17" fillId="0" borderId="4" xfId="0" applyFont="1" applyBorder="1" applyAlignment="1">
      <alignment horizontal="left"/>
    </xf>
    <xf numFmtId="0" fontId="17" fillId="4" borderId="4" xfId="0" applyFont="1" applyFill="1" applyBorder="1" applyAlignment="1">
      <alignment horizontal="left"/>
    </xf>
    <xf numFmtId="166" fontId="7" fillId="0" borderId="0" xfId="1" applyNumberFormat="1" applyFont="1" applyBorder="1" applyAlignment="1">
      <alignment horizontal="center"/>
    </xf>
    <xf numFmtId="164" fontId="13" fillId="0" borderId="11" xfId="1" applyNumberFormat="1" applyFont="1" applyBorder="1" applyAlignment="1">
      <alignment horizontal="center"/>
    </xf>
    <xf numFmtId="164" fontId="13" fillId="0" borderId="0" xfId="1" applyNumberFormat="1" applyFont="1" applyBorder="1" applyAlignment="1">
      <alignment horizontal="center"/>
    </xf>
    <xf numFmtId="164" fontId="13" fillId="4" borderId="11" xfId="1" applyNumberFormat="1" applyFont="1" applyFill="1" applyBorder="1" applyAlignment="1">
      <alignment horizontal="center"/>
    </xf>
    <xf numFmtId="164" fontId="13" fillId="4" borderId="0" xfId="1" applyNumberFormat="1" applyFont="1" applyFill="1" applyBorder="1" applyAlignment="1">
      <alignment horizontal="center"/>
    </xf>
    <xf numFmtId="164" fontId="13" fillId="0" borderId="13" xfId="1" applyNumberFormat="1" applyFont="1" applyBorder="1" applyAlignment="1">
      <alignment horizontal="center"/>
    </xf>
    <xf numFmtId="10" fontId="16" fillId="5" borderId="9" xfId="0" applyNumberFormat="1" applyFont="1" applyFill="1" applyBorder="1" applyAlignment="1">
      <alignment horizontal="center"/>
    </xf>
    <xf numFmtId="0" fontId="20" fillId="0" borderId="0" xfId="0" applyFont="1" applyFill="1"/>
    <xf numFmtId="165" fontId="17" fillId="0" borderId="0" xfId="0" applyNumberFormat="1" applyFont="1" applyFill="1" applyAlignment="1">
      <alignment horizontal="center"/>
    </xf>
    <xf numFmtId="0" fontId="22" fillId="0" borderId="0" xfId="0" applyFont="1"/>
    <xf numFmtId="165" fontId="16" fillId="0" borderId="0" xfId="0" applyNumberFormat="1" applyFont="1" applyFill="1" applyAlignment="1">
      <alignment horizontal="center"/>
    </xf>
    <xf numFmtId="0" fontId="8" fillId="0" borderId="10" xfId="0" applyFont="1" applyBorder="1" applyAlignment="1">
      <alignment horizontal="left"/>
    </xf>
    <xf numFmtId="37" fontId="7" fillId="0" borderId="0" xfId="0" applyNumberFormat="1" applyFont="1" applyAlignment="1">
      <alignment horizontal="right"/>
    </xf>
    <xf numFmtId="37" fontId="7" fillId="0" borderId="0" xfId="1" applyNumberFormat="1" applyFont="1" applyAlignment="1">
      <alignment horizontal="right"/>
    </xf>
    <xf numFmtId="37" fontId="7" fillId="0" borderId="10" xfId="0" applyNumberFormat="1" applyFont="1" applyBorder="1" applyAlignment="1">
      <alignment horizontal="right"/>
    </xf>
    <xf numFmtId="37" fontId="17" fillId="0" borderId="0" xfId="4" applyNumberFormat="1" applyFont="1" applyAlignment="1">
      <alignment horizontal="right"/>
    </xf>
    <xf numFmtId="37" fontId="17" fillId="0" borderId="0" xfId="0" applyNumberFormat="1" applyFont="1" applyAlignment="1">
      <alignment horizontal="right"/>
    </xf>
    <xf numFmtId="37" fontId="17" fillId="0" borderId="0" xfId="1" applyNumberFormat="1" applyFont="1" applyAlignment="1">
      <alignment horizontal="right"/>
    </xf>
    <xf numFmtId="37" fontId="17" fillId="4" borderId="0" xfId="4" applyNumberFormat="1" applyFont="1" applyFill="1" applyAlignment="1">
      <alignment horizontal="right"/>
    </xf>
    <xf numFmtId="37" fontId="17" fillId="4" borderId="0" xfId="0" applyNumberFormat="1" applyFont="1" applyFill="1" applyAlignment="1">
      <alignment horizontal="right"/>
    </xf>
    <xf numFmtId="37" fontId="7" fillId="4" borderId="0" xfId="1" applyNumberFormat="1" applyFont="1" applyFill="1" applyAlignment="1">
      <alignment horizontal="right"/>
    </xf>
    <xf numFmtId="37" fontId="13" fillId="0" borderId="0" xfId="1" applyNumberFormat="1" applyFont="1" applyAlignment="1">
      <alignment horizontal="right"/>
    </xf>
    <xf numFmtId="37" fontId="7" fillId="0" borderId="0" xfId="4" applyNumberFormat="1" applyFont="1" applyAlignment="1">
      <alignment horizontal="right"/>
    </xf>
    <xf numFmtId="0" fontId="12" fillId="2" borderId="0" xfId="2" applyBorder="1"/>
    <xf numFmtId="0" fontId="6" fillId="0" borderId="0" xfId="0" applyFont="1" applyBorder="1"/>
    <xf numFmtId="37" fontId="7" fillId="0" borderId="0" xfId="0" applyNumberFormat="1" applyFont="1" applyBorder="1" applyAlignment="1">
      <alignment horizontal="right"/>
    </xf>
    <xf numFmtId="37" fontId="17" fillId="0" borderId="0" xfId="0" applyNumberFormat="1" applyFont="1" applyBorder="1" applyAlignment="1">
      <alignment horizontal="right"/>
    </xf>
    <xf numFmtId="37" fontId="17" fillId="0" borderId="0" xfId="1" applyNumberFormat="1" applyFont="1" applyBorder="1" applyAlignment="1">
      <alignment horizontal="right"/>
    </xf>
    <xf numFmtId="0" fontId="17" fillId="4" borderId="14" xfId="0" applyFont="1" applyFill="1" applyBorder="1" applyAlignment="1">
      <alignment horizontal="center"/>
    </xf>
    <xf numFmtId="164" fontId="17" fillId="0" borderId="14" xfId="1" applyNumberFormat="1" applyFont="1" applyBorder="1" applyAlignment="1">
      <alignment horizontal="center"/>
    </xf>
    <xf numFmtId="164" fontId="17" fillId="4" borderId="14" xfId="1" applyNumberFormat="1" applyFont="1" applyFill="1" applyBorder="1" applyAlignment="1">
      <alignment horizontal="center"/>
    </xf>
    <xf numFmtId="164" fontId="17" fillId="0" borderId="16" xfId="1" applyNumberFormat="1" applyFont="1" applyBorder="1" applyAlignment="1">
      <alignment horizontal="center"/>
    </xf>
    <xf numFmtId="0" fontId="9" fillId="6" borderId="19" xfId="0" applyFont="1" applyFill="1" applyBorder="1" applyAlignment="1">
      <alignment horizontal="center"/>
    </xf>
    <xf numFmtId="0" fontId="9" fillId="6" borderId="20" xfId="0" applyFont="1" applyFill="1" applyBorder="1" applyAlignment="1">
      <alignment horizontal="center"/>
    </xf>
    <xf numFmtId="9" fontId="17" fillId="6" borderId="21" xfId="1" applyFont="1" applyFill="1" applyBorder="1" applyAlignment="1">
      <alignment horizontal="center"/>
    </xf>
    <xf numFmtId="9" fontId="17" fillId="6" borderId="20" xfId="1" applyFont="1" applyFill="1" applyBorder="1" applyAlignment="1">
      <alignment horizontal="center"/>
    </xf>
    <xf numFmtId="0" fontId="17" fillId="4" borderId="21" xfId="0" applyFont="1" applyFill="1" applyBorder="1" applyAlignment="1">
      <alignment horizontal="center"/>
    </xf>
    <xf numFmtId="0" fontId="21" fillId="3" borderId="22" xfId="0" applyFont="1" applyFill="1" applyBorder="1"/>
    <xf numFmtId="0" fontId="0" fillId="3" borderId="23" xfId="0" applyFont="1" applyFill="1" applyBorder="1"/>
    <xf numFmtId="0" fontId="7" fillId="3" borderId="23" xfId="0" applyFont="1" applyFill="1" applyBorder="1"/>
    <xf numFmtId="0" fontId="7" fillId="3" borderId="24" xfId="0" applyFont="1" applyFill="1" applyBorder="1" applyAlignment="1">
      <alignment horizontal="center"/>
    </xf>
    <xf numFmtId="0" fontId="7" fillId="3" borderId="23" xfId="0" applyFont="1" applyFill="1" applyBorder="1" applyAlignment="1">
      <alignment horizontal="center"/>
    </xf>
    <xf numFmtId="0" fontId="17" fillId="3" borderId="25" xfId="0" applyFont="1" applyFill="1" applyBorder="1" applyAlignment="1">
      <alignment horizontal="center"/>
    </xf>
    <xf numFmtId="0" fontId="17" fillId="3" borderId="26" xfId="0" applyFont="1" applyFill="1" applyBorder="1" applyAlignment="1">
      <alignment horizontal="center"/>
    </xf>
    <xf numFmtId="0" fontId="7" fillId="4" borderId="2" xfId="0" applyFont="1" applyFill="1" applyBorder="1"/>
    <xf numFmtId="0" fontId="9" fillId="4" borderId="12" xfId="0" applyFont="1" applyFill="1" applyBorder="1" applyAlignment="1">
      <alignment horizontal="center"/>
    </xf>
    <xf numFmtId="0" fontId="9" fillId="4" borderId="2" xfId="0" applyFont="1" applyFill="1" applyBorder="1" applyAlignment="1">
      <alignment horizontal="center"/>
    </xf>
    <xf numFmtId="0" fontId="9" fillId="4" borderId="15" xfId="0" applyFont="1" applyFill="1" applyBorder="1" applyAlignment="1">
      <alignment horizontal="center"/>
    </xf>
    <xf numFmtId="0" fontId="9" fillId="4" borderId="19" xfId="0" applyFont="1" applyFill="1" applyBorder="1" applyAlignment="1">
      <alignment horizontal="center"/>
    </xf>
    <xf numFmtId="37" fontId="7" fillId="0" borderId="11" xfId="1" applyNumberFormat="1" applyFont="1" applyBorder="1" applyAlignment="1">
      <alignment horizontal="center"/>
    </xf>
    <xf numFmtId="37" fontId="17" fillId="0" borderId="14" xfId="1" applyNumberFormat="1" applyFont="1" applyBorder="1" applyAlignment="1">
      <alignment horizontal="center"/>
    </xf>
    <xf numFmtId="37" fontId="17" fillId="6" borderId="21" xfId="1" applyNumberFormat="1" applyFont="1" applyFill="1" applyBorder="1" applyAlignment="1">
      <alignment horizontal="center"/>
    </xf>
    <xf numFmtId="37" fontId="7" fillId="4" borderId="11" xfId="1" applyNumberFormat="1" applyFont="1" applyFill="1" applyBorder="1" applyAlignment="1">
      <alignment horizontal="center"/>
    </xf>
    <xf numFmtId="37" fontId="7" fillId="4" borderId="0" xfId="1" applyNumberFormat="1" applyFont="1" applyFill="1" applyBorder="1" applyAlignment="1">
      <alignment horizontal="center"/>
    </xf>
    <xf numFmtId="37" fontId="17" fillId="4" borderId="14" xfId="1" applyNumberFormat="1" applyFont="1" applyFill="1" applyBorder="1" applyAlignment="1">
      <alignment horizontal="center"/>
    </xf>
    <xf numFmtId="37" fontId="17" fillId="4" borderId="21" xfId="1" applyNumberFormat="1" applyFont="1" applyFill="1" applyBorder="1" applyAlignment="1">
      <alignment horizontal="center"/>
    </xf>
    <xf numFmtId="37" fontId="7" fillId="0" borderId="27" xfId="1" applyNumberFormat="1" applyFont="1" applyBorder="1" applyAlignment="1">
      <alignment horizontal="center"/>
    </xf>
    <xf numFmtId="37" fontId="17" fillId="0" borderId="28" xfId="1" applyNumberFormat="1" applyFont="1" applyBorder="1" applyAlignment="1">
      <alignment horizontal="center"/>
    </xf>
    <xf numFmtId="37" fontId="17" fillId="6" borderId="29" xfId="1" applyNumberFormat="1" applyFont="1" applyFill="1" applyBorder="1" applyAlignment="1">
      <alignment horizontal="center"/>
    </xf>
    <xf numFmtId="0" fontId="17" fillId="0" borderId="22" xfId="0" applyFont="1" applyBorder="1" applyAlignment="1">
      <alignment horizontal="left"/>
    </xf>
    <xf numFmtId="0" fontId="17" fillId="0" borderId="23" xfId="0" applyFont="1" applyBorder="1"/>
    <xf numFmtId="0" fontId="17" fillId="0" borderId="23" xfId="0" applyFont="1" applyBorder="1" applyAlignment="1">
      <alignment horizontal="left"/>
    </xf>
    <xf numFmtId="37" fontId="17" fillId="0" borderId="17" xfId="1" applyNumberFormat="1" applyFont="1" applyBorder="1" applyAlignment="1">
      <alignment horizontal="center"/>
    </xf>
    <xf numFmtId="37" fontId="17" fillId="6" borderId="18" xfId="1" applyNumberFormat="1" applyFont="1" applyFill="1" applyBorder="1" applyAlignment="1">
      <alignment horizontal="center"/>
    </xf>
    <xf numFmtId="37" fontId="17" fillId="0" borderId="11" xfId="1" applyNumberFormat="1" applyFont="1" applyBorder="1" applyAlignment="1">
      <alignment horizontal="center"/>
    </xf>
    <xf numFmtId="37" fontId="17" fillId="0" borderId="0" xfId="1" applyNumberFormat="1" applyFont="1" applyBorder="1" applyAlignment="1">
      <alignment horizontal="center"/>
    </xf>
    <xf numFmtId="37" fontId="17" fillId="0" borderId="24" xfId="1" applyNumberFormat="1" applyFont="1" applyBorder="1" applyAlignment="1">
      <alignment horizontal="center"/>
    </xf>
    <xf numFmtId="37" fontId="17" fillId="0" borderId="23" xfId="1" applyNumberFormat="1" applyFont="1" applyBorder="1" applyAlignment="1">
      <alignment horizontal="center"/>
    </xf>
    <xf numFmtId="37" fontId="17" fillId="0" borderId="26" xfId="1" applyNumberFormat="1" applyFont="1" applyBorder="1" applyAlignment="1">
      <alignment horizontal="center"/>
    </xf>
    <xf numFmtId="166" fontId="7" fillId="4" borderId="11" xfId="0" applyNumberFormat="1" applyFont="1" applyFill="1" applyBorder="1" applyAlignment="1">
      <alignment horizontal="center"/>
    </xf>
    <xf numFmtId="166" fontId="7" fillId="4" borderId="0" xfId="0" applyNumberFormat="1" applyFont="1" applyFill="1" applyBorder="1" applyAlignment="1">
      <alignment horizontal="center"/>
    </xf>
    <xf numFmtId="166" fontId="7" fillId="0" borderId="11" xfId="1" applyNumberFormat="1" applyFont="1" applyBorder="1" applyAlignment="1">
      <alignment horizontal="center"/>
    </xf>
    <xf numFmtId="166" fontId="7" fillId="4" borderId="11" xfId="1" applyNumberFormat="1" applyFont="1" applyFill="1" applyBorder="1" applyAlignment="1">
      <alignment horizontal="center"/>
    </xf>
    <xf numFmtId="166" fontId="7" fillId="4" borderId="0" xfId="1" applyNumberFormat="1" applyFont="1" applyFill="1" applyBorder="1" applyAlignment="1">
      <alignment horizontal="center"/>
    </xf>
    <xf numFmtId="166" fontId="7" fillId="0" borderId="13" xfId="1" applyNumberFormat="1" applyFont="1" applyBorder="1" applyAlignment="1">
      <alignment horizontal="center"/>
    </xf>
    <xf numFmtId="166" fontId="7" fillId="0" borderId="7" xfId="1" applyNumberFormat="1"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xf>
    <xf numFmtId="0" fontId="0" fillId="4" borderId="0" xfId="0" applyFont="1" applyFill="1" applyBorder="1"/>
    <xf numFmtId="0" fontId="7" fillId="4" borderId="0" xfId="0" applyFont="1" applyFill="1" applyBorder="1"/>
    <xf numFmtId="0" fontId="7" fillId="4" borderId="0" xfId="0" applyFont="1" applyFill="1" applyBorder="1" applyAlignment="1">
      <alignment horizontal="left"/>
    </xf>
    <xf numFmtId="0" fontId="10" fillId="3" borderId="30" xfId="3" applyFont="1" applyBorder="1"/>
    <xf numFmtId="0" fontId="5" fillId="3" borderId="31" xfId="0" applyFont="1" applyFill="1" applyBorder="1"/>
    <xf numFmtId="0" fontId="7" fillId="3" borderId="31" xfId="0" applyFont="1" applyFill="1" applyBorder="1"/>
    <xf numFmtId="0" fontId="7" fillId="3" borderId="31" xfId="0" applyFont="1" applyFill="1" applyBorder="1" applyAlignment="1">
      <alignment horizontal="center"/>
    </xf>
    <xf numFmtId="0" fontId="7" fillId="3" borderId="32" xfId="0" applyFont="1" applyFill="1" applyBorder="1" applyAlignment="1">
      <alignment horizontal="center"/>
    </xf>
    <xf numFmtId="0" fontId="5" fillId="4" borderId="0" xfId="0" applyFont="1" applyFill="1" applyBorder="1"/>
    <xf numFmtId="0" fontId="7" fillId="0" borderId="33" xfId="0" applyFont="1" applyBorder="1" applyAlignment="1">
      <alignment horizontal="left"/>
    </xf>
    <xf numFmtId="0" fontId="17" fillId="0" borderId="0" xfId="0" applyFont="1" applyBorder="1"/>
    <xf numFmtId="0" fontId="17" fillId="0" borderId="4" xfId="0" applyFont="1" applyBorder="1"/>
    <xf numFmtId="0" fontId="17" fillId="0" borderId="33" xfId="0" applyFont="1" applyBorder="1" applyAlignment="1">
      <alignment horizontal="left"/>
    </xf>
    <xf numFmtId="0" fontId="10" fillId="3" borderId="0" xfId="3" applyBorder="1"/>
    <xf numFmtId="0" fontId="9" fillId="4" borderId="0" xfId="0" applyFont="1" applyFill="1" applyBorder="1" applyAlignment="1">
      <alignment horizontal="center"/>
    </xf>
    <xf numFmtId="0" fontId="9" fillId="4" borderId="14" xfId="0" applyFont="1" applyFill="1" applyBorder="1" applyAlignment="1">
      <alignment horizontal="center"/>
    </xf>
    <xf numFmtId="0" fontId="9" fillId="4" borderId="11" xfId="0" applyFont="1" applyFill="1" applyBorder="1" applyAlignment="1">
      <alignment horizontal="center"/>
    </xf>
    <xf numFmtId="37" fontId="17" fillId="0" borderId="23" xfId="1" applyNumberFormat="1" applyFont="1" applyBorder="1" applyAlignment="1">
      <alignment horizontal="right"/>
    </xf>
    <xf numFmtId="0" fontId="27" fillId="2" borderId="0" xfId="2" applyFont="1"/>
    <xf numFmtId="165" fontId="17" fillId="0" borderId="0" xfId="0" applyNumberFormat="1" applyFont="1" applyAlignment="1">
      <alignment horizontal="center"/>
    </xf>
    <xf numFmtId="0" fontId="9" fillId="3" borderId="0" xfId="3" applyFont="1"/>
    <xf numFmtId="0" fontId="7" fillId="3" borderId="34" xfId="0" applyFont="1" applyFill="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166" fontId="7" fillId="4" borderId="36" xfId="0" applyNumberFormat="1" applyFont="1" applyFill="1" applyBorder="1" applyAlignment="1">
      <alignment horizontal="center"/>
    </xf>
    <xf numFmtId="166" fontId="7" fillId="0" borderId="36" xfId="1" applyNumberFormat="1" applyFont="1" applyBorder="1" applyAlignment="1">
      <alignment horizontal="center"/>
    </xf>
    <xf numFmtId="166" fontId="7" fillId="4" borderId="36" xfId="1" applyNumberFormat="1" applyFont="1" applyFill="1" applyBorder="1" applyAlignment="1">
      <alignment horizontal="center"/>
    </xf>
    <xf numFmtId="166" fontId="7" fillId="0" borderId="35" xfId="1" applyNumberFormat="1" applyFont="1" applyBorder="1" applyAlignment="1">
      <alignment horizontal="center"/>
    </xf>
    <xf numFmtId="166" fontId="7" fillId="0" borderId="0" xfId="1" applyNumberFormat="1" applyFont="1" applyFill="1" applyBorder="1" applyAlignment="1">
      <alignment horizontal="center"/>
    </xf>
    <xf numFmtId="164" fontId="7" fillId="0" borderId="11" xfId="1" applyNumberFormat="1" applyFont="1" applyFill="1" applyBorder="1" applyAlignment="1">
      <alignment horizontal="center"/>
    </xf>
    <xf numFmtId="0" fontId="10" fillId="0" borderId="4" xfId="3" applyFont="1" applyFill="1" applyBorder="1"/>
    <xf numFmtId="0" fontId="0" fillId="0" borderId="0" xfId="0" applyFont="1" applyFill="1" applyBorder="1"/>
    <xf numFmtId="0" fontId="7" fillId="0" borderId="2" xfId="0" applyFont="1" applyBorder="1"/>
    <xf numFmtId="0" fontId="0" fillId="0" borderId="2" xfId="0" applyFont="1" applyBorder="1"/>
    <xf numFmtId="0" fontId="9" fillId="0" borderId="4" xfId="0" applyFont="1" applyBorder="1"/>
    <xf numFmtId="0" fontId="23" fillId="0" borderId="0" xfId="0" applyFont="1" applyBorder="1"/>
    <xf numFmtId="0" fontId="9" fillId="0" borderId="0" xfId="0" applyFont="1" applyBorder="1"/>
    <xf numFmtId="0" fontId="9" fillId="0" borderId="11" xfId="0" applyFont="1" applyBorder="1" applyAlignment="1">
      <alignment horizontal="center"/>
    </xf>
    <xf numFmtId="0" fontId="9" fillId="0" borderId="14" xfId="0" applyFont="1" applyBorder="1" applyAlignment="1">
      <alignment horizontal="center"/>
    </xf>
    <xf numFmtId="0" fontId="9" fillId="6" borderId="21" xfId="0" applyFont="1" applyFill="1" applyBorder="1" applyAlignment="1">
      <alignment horizontal="center"/>
    </xf>
    <xf numFmtId="0" fontId="7" fillId="0" borderId="1" xfId="0" applyFont="1" applyBorder="1"/>
    <xf numFmtId="0" fontId="9" fillId="6" borderId="2" xfId="0" applyFont="1" applyFill="1" applyBorder="1" applyAlignment="1">
      <alignment horizontal="centerContinuous"/>
    </xf>
    <xf numFmtId="0" fontId="9" fillId="6" borderId="12" xfId="0" applyFont="1" applyFill="1" applyBorder="1" applyAlignment="1">
      <alignment horizontal="centerContinuous"/>
    </xf>
    <xf numFmtId="0" fontId="9" fillId="6" borderId="15" xfId="0" applyFont="1" applyFill="1" applyBorder="1" applyAlignment="1">
      <alignment horizontal="centerContinuous"/>
    </xf>
    <xf numFmtId="0" fontId="9" fillId="7" borderId="12" xfId="0" applyFont="1" applyFill="1" applyBorder="1" applyAlignment="1">
      <alignment horizontal="centerContinuous"/>
    </xf>
    <xf numFmtId="0" fontId="9" fillId="7" borderId="2" xfId="0" applyFont="1" applyFill="1" applyBorder="1" applyAlignment="1">
      <alignment horizontal="centerContinuous"/>
    </xf>
    <xf numFmtId="0" fontId="9" fillId="7" borderId="15" xfId="0" applyFont="1" applyFill="1" applyBorder="1" applyAlignment="1">
      <alignment horizontal="centerContinuous"/>
    </xf>
    <xf numFmtId="0" fontId="9" fillId="7" borderId="23" xfId="0" applyFont="1" applyFill="1" applyBorder="1" applyAlignment="1">
      <alignment horizontal="centerContinuous"/>
    </xf>
    <xf numFmtId="0" fontId="9" fillId="6" borderId="24" xfId="0" applyFont="1" applyFill="1" applyBorder="1" applyAlignment="1">
      <alignment horizontal="centerContinuous"/>
    </xf>
    <xf numFmtId="0" fontId="9" fillId="6" borderId="23" xfId="0" applyFont="1" applyFill="1" applyBorder="1" applyAlignment="1">
      <alignment horizontal="centerContinuous"/>
    </xf>
    <xf numFmtId="0" fontId="6" fillId="0" borderId="0" xfId="0" applyFont="1" applyBorder="1" applyAlignment="1">
      <alignment horizontal="center"/>
    </xf>
    <xf numFmtId="0" fontId="0" fillId="0" borderId="0" xfId="0" applyFill="1" applyBorder="1"/>
    <xf numFmtId="0" fontId="10" fillId="0" borderId="0" xfId="3" applyFill="1" applyBorder="1"/>
    <xf numFmtId="0" fontId="9" fillId="7" borderId="17" xfId="0" applyFont="1" applyFill="1" applyBorder="1" applyAlignment="1">
      <alignment horizontal="centerContinuous"/>
    </xf>
    <xf numFmtId="0" fontId="9" fillId="6" borderId="17" xfId="0" applyFont="1" applyFill="1" applyBorder="1" applyAlignment="1">
      <alignment horizontal="centerContinuous"/>
    </xf>
    <xf numFmtId="9" fontId="13" fillId="0" borderId="0" xfId="1" applyFont="1" applyAlignment="1">
      <alignment horizontal="right"/>
    </xf>
    <xf numFmtId="37" fontId="13" fillId="0" borderId="0" xfId="0" applyNumberFormat="1" applyFont="1" applyAlignment="1">
      <alignment horizontal="right"/>
    </xf>
    <xf numFmtId="37" fontId="13" fillId="0" borderId="10" xfId="0" applyNumberFormat="1" applyFont="1" applyBorder="1" applyAlignment="1">
      <alignment horizontal="right"/>
    </xf>
    <xf numFmtId="0" fontId="9" fillId="0" borderId="0" xfId="3" applyFont="1" applyFill="1"/>
    <xf numFmtId="0" fontId="28" fillId="0" borderId="0" xfId="3" applyFont="1" applyFill="1" applyAlignment="1">
      <alignment horizontal="center"/>
    </xf>
    <xf numFmtId="37" fontId="7" fillId="0" borderId="0" xfId="0" applyNumberFormat="1" applyFont="1"/>
    <xf numFmtId="10" fontId="6" fillId="0" borderId="7" xfId="0" applyNumberFormat="1" applyFont="1" applyBorder="1" applyAlignment="1">
      <alignment horizontal="center"/>
    </xf>
    <xf numFmtId="0" fontId="29" fillId="0" borderId="10" xfId="3" applyFont="1" applyFill="1" applyBorder="1"/>
    <xf numFmtId="0" fontId="9" fillId="0" borderId="10" xfId="3" applyFont="1" applyFill="1" applyBorder="1"/>
    <xf numFmtId="0" fontId="30" fillId="0" borderId="0" xfId="0" applyFont="1"/>
    <xf numFmtId="0" fontId="30" fillId="0" borderId="10" xfId="0" applyFont="1" applyBorder="1"/>
    <xf numFmtId="0" fontId="0" fillId="0" borderId="10" xfId="0" applyBorder="1"/>
    <xf numFmtId="0" fontId="21" fillId="3" borderId="0" xfId="0" applyFont="1" applyFill="1" applyBorder="1" applyAlignment="1">
      <alignment horizontal="left" wrapText="1"/>
    </xf>
    <xf numFmtId="0" fontId="21" fillId="3" borderId="38" xfId="0" applyFont="1" applyFill="1" applyBorder="1" applyAlignment="1">
      <alignment horizontal="left"/>
    </xf>
    <xf numFmtId="0" fontId="0" fillId="0" borderId="39" xfId="0" applyBorder="1" applyAlignment="1">
      <alignment horizontal="left"/>
    </xf>
    <xf numFmtId="0" fontId="0" fillId="0" borderId="41" xfId="0" applyBorder="1" applyAlignment="1">
      <alignment horizontal="left"/>
    </xf>
    <xf numFmtId="0" fontId="0" fillId="0" borderId="43" xfId="0" applyBorder="1" applyAlignment="1">
      <alignment horizontal="left"/>
    </xf>
    <xf numFmtId="0" fontId="7" fillId="3" borderId="25" xfId="0" applyFont="1" applyFill="1" applyBorder="1" applyAlignment="1">
      <alignment horizontal="center"/>
    </xf>
    <xf numFmtId="0" fontId="7" fillId="4" borderId="37" xfId="0" applyFont="1" applyFill="1" applyBorder="1" applyAlignment="1">
      <alignment horizontal="center"/>
    </xf>
    <xf numFmtId="164" fontId="7" fillId="0" borderId="37" xfId="1" applyNumberFormat="1" applyFont="1" applyBorder="1" applyAlignment="1">
      <alignment horizontal="center"/>
    </xf>
    <xf numFmtId="164" fontId="7" fillId="4" borderId="37" xfId="1" applyNumberFormat="1" applyFont="1" applyFill="1" applyBorder="1" applyAlignment="1">
      <alignment horizontal="center"/>
    </xf>
    <xf numFmtId="164" fontId="7" fillId="0" borderId="45" xfId="1" applyNumberFormat="1" applyFont="1" applyBorder="1" applyAlignment="1">
      <alignment horizontal="center"/>
    </xf>
    <xf numFmtId="0" fontId="9" fillId="0" borderId="37" xfId="0" applyFont="1" applyBorder="1" applyAlignment="1">
      <alignment horizontal="center"/>
    </xf>
    <xf numFmtId="0" fontId="9" fillId="0" borderId="45" xfId="0" applyFont="1" applyBorder="1" applyAlignment="1">
      <alignment horizontal="center"/>
    </xf>
    <xf numFmtId="164" fontId="13" fillId="0" borderId="37" xfId="1" applyNumberFormat="1" applyFont="1" applyBorder="1" applyAlignment="1">
      <alignment horizontal="center"/>
    </xf>
    <xf numFmtId="164" fontId="13" fillId="4" borderId="37" xfId="1" applyNumberFormat="1" applyFont="1" applyFill="1" applyBorder="1" applyAlignment="1">
      <alignment horizontal="center"/>
    </xf>
    <xf numFmtId="164" fontId="13" fillId="0" borderId="45" xfId="1" applyNumberFormat="1" applyFont="1" applyBorder="1" applyAlignment="1">
      <alignment horizontal="center"/>
    </xf>
    <xf numFmtId="0" fontId="7" fillId="3" borderId="26" xfId="0" applyFont="1" applyFill="1" applyBorder="1" applyAlignment="1">
      <alignment horizontal="center"/>
    </xf>
    <xf numFmtId="0" fontId="7" fillId="4" borderId="5" xfId="0" applyFont="1" applyFill="1" applyBorder="1" applyAlignment="1">
      <alignment horizontal="center"/>
    </xf>
    <xf numFmtId="164" fontId="7" fillId="0" borderId="5" xfId="1" applyNumberFormat="1" applyFont="1" applyBorder="1" applyAlignment="1">
      <alignment horizontal="center"/>
    </xf>
    <xf numFmtId="164" fontId="7" fillId="4" borderId="5" xfId="1" applyNumberFormat="1" applyFont="1" applyFill="1" applyBorder="1" applyAlignment="1">
      <alignment horizontal="center"/>
    </xf>
    <xf numFmtId="164" fontId="7" fillId="0" borderId="8" xfId="1" applyNumberFormat="1" applyFont="1" applyBorder="1" applyAlignment="1">
      <alignment horizontal="center"/>
    </xf>
    <xf numFmtId="164" fontId="13" fillId="0" borderId="5" xfId="1" applyNumberFormat="1" applyFont="1" applyBorder="1" applyAlignment="1">
      <alignment horizontal="center"/>
    </xf>
    <xf numFmtId="164" fontId="13" fillId="4" borderId="5" xfId="1" applyNumberFormat="1" applyFont="1" applyFill="1" applyBorder="1" applyAlignment="1">
      <alignment horizontal="center"/>
    </xf>
    <xf numFmtId="164" fontId="13" fillId="0" borderId="8" xfId="1" applyNumberFormat="1" applyFont="1" applyBorder="1" applyAlignment="1">
      <alignment horizontal="center"/>
    </xf>
    <xf numFmtId="0" fontId="9" fillId="0" borderId="5" xfId="0" applyFont="1" applyBorder="1" applyAlignment="1">
      <alignment horizontal="center"/>
    </xf>
    <xf numFmtId="0" fontId="9" fillId="0" borderId="8" xfId="0" applyFont="1" applyBorder="1" applyAlignment="1">
      <alignment horizontal="center"/>
    </xf>
    <xf numFmtId="0" fontId="26" fillId="0" borderId="47" xfId="0" applyFont="1" applyBorder="1"/>
    <xf numFmtId="0" fontId="0" fillId="0" borderId="48" xfId="0" applyBorder="1"/>
    <xf numFmtId="0" fontId="7" fillId="0" borderId="48" xfId="0" applyFont="1" applyBorder="1"/>
    <xf numFmtId="0" fontId="0" fillId="0" borderId="49" xfId="0" applyBorder="1"/>
    <xf numFmtId="0" fontId="0" fillId="0" borderId="50" xfId="0" applyBorder="1"/>
    <xf numFmtId="0" fontId="22" fillId="0" borderId="0" xfId="0" applyFont="1" applyBorder="1"/>
    <xf numFmtId="0" fontId="0" fillId="0" borderId="51" xfId="0" applyBorder="1"/>
    <xf numFmtId="0" fontId="7" fillId="0" borderId="0" xfId="0" applyFont="1" applyFill="1" applyAlignment="1">
      <alignment horizontal="center"/>
    </xf>
    <xf numFmtId="0" fontId="7" fillId="0" borderId="0" xfId="0" applyFont="1" applyFill="1" applyAlignment="1">
      <alignment horizontal="centerContinuous"/>
    </xf>
    <xf numFmtId="0" fontId="17" fillId="0" borderId="0" xfId="0" applyFont="1" applyFill="1" applyAlignment="1">
      <alignment horizontal="center"/>
    </xf>
    <xf numFmtId="0" fontId="7" fillId="0" borderId="50" xfId="0" applyFont="1" applyBorder="1"/>
    <xf numFmtId="0" fontId="7" fillId="0" borderId="0" xfId="0" applyFont="1" applyBorder="1" applyAlignment="1">
      <alignment horizontal="center"/>
    </xf>
    <xf numFmtId="0" fontId="24" fillId="0" borderId="0" xfId="0" applyFont="1" applyBorder="1" applyAlignment="1">
      <alignment horizontal="left" indent="1"/>
    </xf>
    <xf numFmtId="0" fontId="7" fillId="0" borderId="51" xfId="0" applyFont="1" applyBorder="1" applyAlignment="1">
      <alignment horizontal="center"/>
    </xf>
    <xf numFmtId="0" fontId="7" fillId="0" borderId="52" xfId="0" applyFont="1" applyFill="1" applyBorder="1"/>
    <xf numFmtId="0" fontId="0" fillId="0" borderId="53" xfId="0" applyFont="1" applyFill="1" applyBorder="1"/>
    <xf numFmtId="0" fontId="7" fillId="0" borderId="53" xfId="0" applyFont="1" applyFill="1" applyBorder="1"/>
    <xf numFmtId="0" fontId="7" fillId="0" borderId="53" xfId="0" applyFont="1" applyFill="1" applyBorder="1" applyAlignment="1">
      <alignment horizontal="center"/>
    </xf>
    <xf numFmtId="0" fontId="16" fillId="0" borderId="53" xfId="0" applyFont="1" applyFill="1" applyBorder="1" applyAlignment="1">
      <alignment horizontal="center"/>
    </xf>
    <xf numFmtId="0" fontId="24" fillId="0" borderId="53" xfId="0" applyFont="1" applyFill="1" applyBorder="1" applyAlignment="1">
      <alignment horizontal="left" indent="1"/>
    </xf>
    <xf numFmtId="0" fontId="7" fillId="0" borderId="54" xfId="0" applyFont="1" applyFill="1" applyBorder="1" applyAlignment="1">
      <alignment horizontal="center"/>
    </xf>
    <xf numFmtId="0" fontId="25" fillId="0" borderId="47" xfId="0" applyFont="1" applyBorder="1"/>
    <xf numFmtId="0" fontId="0" fillId="0" borderId="48" xfId="0" applyFont="1" applyBorder="1"/>
    <xf numFmtId="0" fontId="7" fillId="0" borderId="48" xfId="0" applyFont="1" applyBorder="1" applyAlignment="1">
      <alignment horizontal="center"/>
    </xf>
    <xf numFmtId="0" fontId="17" fillId="0" borderId="48" xfId="0" applyFont="1" applyBorder="1" applyAlignment="1">
      <alignment horizontal="center"/>
    </xf>
    <xf numFmtId="0" fontId="7" fillId="0" borderId="49" xfId="0" applyFont="1" applyBorder="1" applyAlignment="1">
      <alignment horizontal="center"/>
    </xf>
    <xf numFmtId="0" fontId="17" fillId="0" borderId="0" xfId="0" applyFont="1" applyBorder="1" applyAlignment="1">
      <alignment horizontal="center"/>
    </xf>
    <xf numFmtId="0" fontId="7" fillId="0" borderId="51" xfId="0" applyFont="1" applyBorder="1" applyAlignment="1">
      <alignment horizontal="left"/>
    </xf>
    <xf numFmtId="0" fontId="17" fillId="0" borderId="53" xfId="0" applyFont="1" applyFill="1" applyBorder="1" applyAlignment="1">
      <alignment horizontal="center"/>
    </xf>
    <xf numFmtId="0" fontId="7" fillId="0" borderId="54" xfId="0" applyFont="1" applyFill="1" applyBorder="1" applyAlignment="1">
      <alignment horizontal="left"/>
    </xf>
    <xf numFmtId="43" fontId="0" fillId="0" borderId="40" xfId="4" applyNumberFormat="1" applyFont="1" applyBorder="1" applyAlignment="1">
      <alignment horizontal="left"/>
    </xf>
    <xf numFmtId="43" fontId="0" fillId="0" borderId="42" xfId="4" applyNumberFormat="1" applyFont="1" applyBorder="1" applyAlignment="1">
      <alignment horizontal="left"/>
    </xf>
    <xf numFmtId="43" fontId="0" fillId="0" borderId="44" xfId="4" applyNumberFormat="1" applyFont="1" applyBorder="1" applyAlignment="1">
      <alignment horizontal="left"/>
    </xf>
    <xf numFmtId="9" fontId="17" fillId="0" borderId="21" xfId="1" applyNumberFormat="1" applyFont="1" applyFill="1" applyBorder="1" applyAlignment="1">
      <alignment horizontal="center"/>
    </xf>
    <xf numFmtId="0" fontId="0" fillId="8" borderId="0" xfId="0" applyFill="1"/>
    <xf numFmtId="0" fontId="12" fillId="2" borderId="0" xfId="2" applyFill="1"/>
    <xf numFmtId="37" fontId="7" fillId="9" borderId="0" xfId="0" applyNumberFormat="1" applyFont="1" applyFill="1" applyBorder="1" applyAlignment="1">
      <alignment horizontal="right"/>
    </xf>
    <xf numFmtId="37" fontId="17" fillId="9" borderId="0" xfId="4" applyNumberFormat="1" applyFont="1" applyFill="1" applyBorder="1" applyAlignment="1">
      <alignment horizontal="right"/>
    </xf>
    <xf numFmtId="37" fontId="7" fillId="9" borderId="0" xfId="1" applyNumberFormat="1" applyFont="1" applyFill="1" applyBorder="1" applyAlignment="1">
      <alignment horizontal="right"/>
    </xf>
    <xf numFmtId="37" fontId="13" fillId="9" borderId="0" xfId="1" applyNumberFormat="1" applyFont="1" applyFill="1" applyBorder="1" applyAlignment="1">
      <alignment horizontal="right"/>
    </xf>
    <xf numFmtId="37" fontId="17" fillId="9" borderId="0" xfId="0" applyNumberFormat="1" applyFont="1" applyFill="1" applyBorder="1" applyAlignment="1">
      <alignment horizontal="right"/>
    </xf>
    <xf numFmtId="37" fontId="7" fillId="9" borderId="0" xfId="4" applyNumberFormat="1" applyFont="1" applyFill="1" applyBorder="1" applyAlignment="1">
      <alignment horizontal="right"/>
    </xf>
    <xf numFmtId="37" fontId="17" fillId="9" borderId="0" xfId="1" applyNumberFormat="1" applyFont="1" applyFill="1" applyBorder="1" applyAlignment="1">
      <alignment horizontal="right"/>
    </xf>
    <xf numFmtId="0" fontId="6" fillId="8" borderId="0" xfId="0" applyFont="1" applyFill="1" applyBorder="1" applyAlignment="1">
      <alignment horizontal="center"/>
    </xf>
    <xf numFmtId="0" fontId="6" fillId="8" borderId="7" xfId="0" applyFont="1" applyFill="1" applyBorder="1" applyAlignment="1">
      <alignment horizontal="center"/>
    </xf>
    <xf numFmtId="165" fontId="17" fillId="9" borderId="2" xfId="0" applyNumberFormat="1" applyFont="1" applyFill="1" applyBorder="1" applyAlignment="1">
      <alignment horizontal="center"/>
    </xf>
    <xf numFmtId="165" fontId="16" fillId="9" borderId="0" xfId="0" applyNumberFormat="1" applyFont="1" applyFill="1" applyBorder="1" applyAlignment="1">
      <alignment horizontal="center"/>
    </xf>
    <xf numFmtId="165" fontId="17" fillId="9" borderId="0" xfId="0" applyNumberFormat="1" applyFont="1" applyFill="1" applyBorder="1" applyAlignment="1">
      <alignment horizontal="center"/>
    </xf>
    <xf numFmtId="9" fontId="7" fillId="0" borderId="0" xfId="1" applyFont="1" applyAlignment="1">
      <alignment horizontal="right"/>
    </xf>
    <xf numFmtId="9" fontId="17" fillId="0" borderId="23" xfId="1" applyFont="1" applyBorder="1" applyAlignment="1">
      <alignment horizontal="right"/>
    </xf>
    <xf numFmtId="9" fontId="7" fillId="0" borderId="10" xfId="1" applyFont="1" applyBorder="1" applyAlignment="1">
      <alignment horizontal="right"/>
    </xf>
    <xf numFmtId="9" fontId="17" fillId="0" borderId="0" xfId="1" applyFont="1" applyAlignment="1">
      <alignment horizontal="right"/>
    </xf>
    <xf numFmtId="3" fontId="0" fillId="0" borderId="0" xfId="0" applyNumberFormat="1"/>
    <xf numFmtId="43" fontId="0" fillId="0" borderId="0" xfId="4" applyFont="1"/>
    <xf numFmtId="164" fontId="7" fillId="0" borderId="0" xfId="1" applyNumberFormat="1" applyFont="1" applyFill="1" applyAlignment="1">
      <alignment horizontal="center"/>
    </xf>
    <xf numFmtId="9" fontId="17" fillId="6" borderId="21" xfId="1" applyNumberFormat="1" applyFont="1" applyFill="1" applyBorder="1" applyAlignment="1">
      <alignment horizontal="center"/>
    </xf>
    <xf numFmtId="43" fontId="0" fillId="0" borderId="0" xfId="0" applyNumberFormat="1"/>
    <xf numFmtId="168" fontId="0" fillId="0" borderId="0" xfId="0" applyNumberFormat="1" applyAlignment="1">
      <alignment horizontal="right"/>
    </xf>
    <xf numFmtId="167" fontId="7" fillId="0" borderId="0" xfId="1" applyNumberFormat="1" applyFont="1"/>
    <xf numFmtId="37" fontId="17" fillId="0" borderId="0" xfId="0" applyNumberFormat="1" applyFont="1"/>
    <xf numFmtId="3" fontId="17" fillId="0" borderId="0" xfId="0" applyNumberFormat="1" applyFont="1"/>
    <xf numFmtId="3" fontId="7" fillId="0" borderId="0" xfId="0" applyNumberFormat="1" applyFont="1"/>
    <xf numFmtId="43" fontId="7" fillId="0" borderId="0" xfId="4" applyFont="1"/>
    <xf numFmtId="0" fontId="0" fillId="0" borderId="4" xfId="0" applyFont="1" applyBorder="1" applyAlignment="1">
      <alignment horizontal="left" vertical="top" wrapText="1"/>
    </xf>
    <xf numFmtId="0" fontId="0" fillId="0" borderId="0" xfId="0" applyFont="1" applyAlignment="1">
      <alignment wrapText="1"/>
    </xf>
    <xf numFmtId="0" fontId="0" fillId="0" borderId="4"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5" xfId="0" applyFont="1" applyBorder="1" applyAlignment="1">
      <alignment horizontal="left" vertical="top" wrapText="1"/>
    </xf>
    <xf numFmtId="0" fontId="9" fillId="4" borderId="4" xfId="0" applyFont="1" applyFill="1" applyBorder="1"/>
    <xf numFmtId="0" fontId="9" fillId="4" borderId="4" xfId="0" applyFont="1" applyFill="1" applyBorder="1" applyAlignment="1">
      <alignment vertical="top"/>
    </xf>
    <xf numFmtId="0" fontId="9" fillId="4" borderId="0" xfId="0" applyFont="1" applyFill="1" applyBorder="1"/>
    <xf numFmtId="0" fontId="4" fillId="8" borderId="55" xfId="0" applyFont="1" applyFill="1" applyBorder="1" applyAlignment="1">
      <alignment horizontal="left" vertical="top" wrapText="1"/>
    </xf>
    <xf numFmtId="0" fontId="9" fillId="4" borderId="0" xfId="0" applyFont="1" applyFill="1" applyBorder="1" applyAlignment="1">
      <alignment vertical="top"/>
    </xf>
    <xf numFmtId="0" fontId="33" fillId="8" borderId="55" xfId="0" applyFont="1" applyFill="1" applyBorder="1" applyAlignment="1">
      <alignment vertical="top"/>
    </xf>
    <xf numFmtId="0" fontId="4" fillId="8" borderId="55" xfId="0" applyFont="1" applyFill="1" applyBorder="1" applyAlignment="1">
      <alignment vertical="top"/>
    </xf>
    <xf numFmtId="0" fontId="4" fillId="8" borderId="55" xfId="0" applyFont="1" applyFill="1" applyBorder="1"/>
    <xf numFmtId="0" fontId="4" fillId="0" borderId="55" xfId="0" applyFont="1" applyFill="1" applyBorder="1" applyAlignment="1">
      <alignment horizontal="left" vertical="top" wrapText="1"/>
    </xf>
    <xf numFmtId="0" fontId="9" fillId="4" borderId="5" xfId="0" applyFont="1" applyFill="1" applyBorder="1"/>
    <xf numFmtId="0" fontId="34" fillId="8" borderId="57" xfId="1050" applyFont="1" applyFill="1" applyBorder="1" applyAlignment="1">
      <alignment horizontal="left" vertical="top" wrapText="1"/>
    </xf>
    <xf numFmtId="0" fontId="33" fillId="8" borderId="56" xfId="0" applyFont="1" applyFill="1" applyBorder="1" applyAlignment="1">
      <alignment vertical="top"/>
    </xf>
    <xf numFmtId="0" fontId="4" fillId="8" borderId="57" xfId="0" applyFont="1" applyFill="1" applyBorder="1"/>
    <xf numFmtId="0" fontId="9" fillId="4" borderId="5" xfId="0" applyFont="1" applyFill="1" applyBorder="1" applyAlignment="1">
      <alignment vertical="top"/>
    </xf>
    <xf numFmtId="0" fontId="3" fillId="8" borderId="55" xfId="0" applyFont="1" applyFill="1" applyBorder="1" applyAlignment="1">
      <alignment horizontal="left" vertical="top" wrapText="1"/>
    </xf>
    <xf numFmtId="0" fontId="2" fillId="0" borderId="55" xfId="0" applyFont="1" applyFill="1" applyBorder="1" applyAlignment="1">
      <alignment horizontal="left" vertical="top" wrapText="1"/>
    </xf>
    <xf numFmtId="0" fontId="24" fillId="0" borderId="0" xfId="0" applyFont="1" applyAlignment="1">
      <alignment horizontal="left"/>
    </xf>
    <xf numFmtId="0" fontId="16" fillId="0" borderId="0" xfId="0" applyFont="1" applyFill="1" applyBorder="1" applyAlignment="1">
      <alignment horizontal="center"/>
    </xf>
    <xf numFmtId="0" fontId="24" fillId="0" borderId="0" xfId="0" applyFont="1" applyFill="1" applyBorder="1" applyAlignment="1">
      <alignment horizontal="left" indent="1"/>
    </xf>
    <xf numFmtId="0" fontId="7" fillId="0" borderId="0" xfId="0" applyFont="1" applyFill="1" applyBorder="1"/>
    <xf numFmtId="0" fontId="7" fillId="0" borderId="0" xfId="0" applyFont="1" applyFill="1" applyBorder="1" applyAlignment="1">
      <alignment horizontal="center"/>
    </xf>
    <xf numFmtId="0" fontId="7" fillId="0" borderId="0" xfId="0" applyFont="1" applyBorder="1" applyAlignment="1">
      <alignment horizontal="centerContinuous"/>
    </xf>
    <xf numFmtId="0" fontId="7" fillId="0" borderId="0" xfId="0" applyFont="1" applyFill="1" applyBorder="1" applyAlignment="1">
      <alignment horizontal="centerContinuous"/>
    </xf>
    <xf numFmtId="0" fontId="0"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3" fillId="8" borderId="60" xfId="0" applyFont="1" applyFill="1" applyBorder="1" applyAlignment="1">
      <alignment horizontal="left" vertical="top" wrapText="1"/>
    </xf>
    <xf numFmtId="0" fontId="4" fillId="8" borderId="62" xfId="0" applyFont="1" applyFill="1" applyBorder="1" applyAlignment="1">
      <alignment horizontal="left" vertical="top" wrapText="1"/>
    </xf>
    <xf numFmtId="0" fontId="4" fillId="8" borderId="61" xfId="0" applyFont="1" applyFill="1" applyBorder="1" applyAlignment="1">
      <alignment horizontal="left" vertical="top" wrapText="1"/>
    </xf>
    <xf numFmtId="0" fontId="3" fillId="8" borderId="55" xfId="0" applyFont="1" applyFill="1" applyBorder="1" applyAlignment="1">
      <alignment horizontal="left" vertical="top" wrapText="1"/>
    </xf>
    <xf numFmtId="0" fontId="4" fillId="8" borderId="55" xfId="0" applyFont="1" applyFill="1" applyBorder="1" applyAlignment="1">
      <alignment horizontal="left" vertical="top" wrapText="1"/>
    </xf>
    <xf numFmtId="0" fontId="33" fillId="8" borderId="56" xfId="0" applyFont="1" applyFill="1" applyBorder="1" applyAlignment="1">
      <alignment horizontal="left" vertical="top"/>
    </xf>
    <xf numFmtId="0" fontId="33" fillId="8" borderId="55" xfId="0" applyFont="1" applyFill="1" applyBorder="1" applyAlignment="1">
      <alignment horizontal="left" vertical="top"/>
    </xf>
    <xf numFmtId="0" fontId="18" fillId="8" borderId="58" xfId="1050" applyFill="1" applyBorder="1" applyAlignment="1">
      <alignment horizontal="left" vertical="top" wrapText="1"/>
    </xf>
    <xf numFmtId="0" fontId="4" fillId="8" borderId="59" xfId="0" applyFont="1" applyFill="1" applyBorder="1" applyAlignment="1">
      <alignment horizontal="left" vertical="top" wrapText="1"/>
    </xf>
    <xf numFmtId="0" fontId="4" fillId="8" borderId="57" xfId="0" applyFont="1" applyFill="1" applyBorder="1" applyAlignment="1">
      <alignment horizontal="center"/>
    </xf>
    <xf numFmtId="0" fontId="9" fillId="6" borderId="24" xfId="0" applyFont="1" applyFill="1" applyBorder="1" applyAlignment="1">
      <alignment horizontal="center"/>
    </xf>
    <xf numFmtId="0" fontId="9" fillId="6" borderId="23" xfId="0" applyFont="1" applyFill="1" applyBorder="1" applyAlignment="1">
      <alignment horizontal="center"/>
    </xf>
    <xf numFmtId="0" fontId="9" fillId="6" borderId="25" xfId="0" applyFont="1" applyFill="1" applyBorder="1" applyAlignment="1">
      <alignment horizontal="center"/>
    </xf>
    <xf numFmtId="0" fontId="9" fillId="7" borderId="24" xfId="0" applyFont="1" applyFill="1" applyBorder="1" applyAlignment="1">
      <alignment horizontal="center"/>
    </xf>
    <xf numFmtId="0" fontId="9" fillId="7" borderId="23" xfId="0" applyFont="1" applyFill="1" applyBorder="1" applyAlignment="1">
      <alignment horizontal="center"/>
    </xf>
    <xf numFmtId="0" fontId="9" fillId="6" borderId="12" xfId="0" applyFont="1" applyFill="1" applyBorder="1" applyAlignment="1">
      <alignment horizontal="center"/>
    </xf>
    <xf numFmtId="0" fontId="9" fillId="6" borderId="2" xfId="0" applyFont="1" applyFill="1" applyBorder="1" applyAlignment="1">
      <alignment horizontal="center"/>
    </xf>
    <xf numFmtId="0" fontId="9" fillId="6" borderId="46" xfId="0" applyFont="1" applyFill="1" applyBorder="1" applyAlignment="1">
      <alignment horizontal="center"/>
    </xf>
    <xf numFmtId="0" fontId="9" fillId="7" borderId="12" xfId="0" applyFont="1" applyFill="1" applyBorder="1" applyAlignment="1">
      <alignment horizontal="center"/>
    </xf>
    <xf numFmtId="0" fontId="9" fillId="7" borderId="2" xfId="0" applyFont="1" applyFill="1" applyBorder="1" applyAlignment="1">
      <alignment horizontal="center"/>
    </xf>
    <xf numFmtId="0" fontId="9" fillId="7" borderId="63" xfId="0" applyFont="1" applyFill="1" applyBorder="1" applyAlignment="1">
      <alignment horizontal="center"/>
    </xf>
    <xf numFmtId="0" fontId="9" fillId="7" borderId="46" xfId="0" applyFont="1" applyFill="1" applyBorder="1" applyAlignment="1">
      <alignment horizontal="center"/>
    </xf>
    <xf numFmtId="0" fontId="9" fillId="7" borderId="3" xfId="0" applyFont="1" applyFill="1" applyBorder="1" applyAlignment="1">
      <alignment horizontal="center"/>
    </xf>
    <xf numFmtId="0" fontId="9" fillId="7" borderId="64" xfId="0" applyFont="1" applyFill="1" applyBorder="1" applyAlignment="1">
      <alignment horizontal="center"/>
    </xf>
    <xf numFmtId="0" fontId="9" fillId="7" borderId="25" xfId="0" applyFont="1" applyFill="1" applyBorder="1" applyAlignment="1">
      <alignment horizontal="center"/>
    </xf>
    <xf numFmtId="0" fontId="9" fillId="7" borderId="65" xfId="0" applyFont="1" applyFill="1" applyBorder="1" applyAlignment="1">
      <alignment horizontal="center"/>
    </xf>
  </cellXfs>
  <cellStyles count="1222">
    <cellStyle name="Comma" xfId="4" builtin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cellStyle name="Normal" xfId="0" builtinId="0"/>
    <cellStyle name="Percent" xfId="1" builtinId="5"/>
    <cellStyle name="Section Header" xfId="3" xr:uid="{00000000-0005-0000-0000-0000C4040000}"/>
    <cellStyle name="Sheet Header" xfId="2" xr:uid="{00000000-0005-0000-0000-0000C504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2.calrecycle.ca.gov/Publications/Details/1431" TargetMode="External"/><Relationship Id="rId1" Type="http://schemas.openxmlformats.org/officeDocument/2006/relationships/hyperlink" Target="https://www.pizzatoday.com/departments/front-of-the-house/customization-nation/"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L28"/>
  <sheetViews>
    <sheetView showGridLines="0" tabSelected="1" zoomScale="115" zoomScaleNormal="115" zoomScalePageLayoutView="115" workbookViewId="0">
      <selection activeCell="B16" sqref="B16"/>
    </sheetView>
  </sheetViews>
  <sheetFormatPr defaultColWidth="0" defaultRowHeight="14.35" zeroHeight="1" x14ac:dyDescent="0.5"/>
  <cols>
    <col min="1" max="1" width="2.3515625" style="45" customWidth="1"/>
    <col min="2" max="11" width="9.1171875" style="45" customWidth="1"/>
    <col min="12" max="12" width="2.3515625" style="45" customWidth="1"/>
    <col min="13" max="16384" width="9.1171875" style="45" hidden="1"/>
  </cols>
  <sheetData>
    <row r="1" spans="1:11" s="79" customFormat="1" ht="18" x14ac:dyDescent="0.6">
      <c r="A1" s="79" t="s">
        <v>31</v>
      </c>
    </row>
    <row r="2" spans="1:11" ht="13.35" customHeight="1" thickBot="1" x14ac:dyDescent="0.55000000000000004"/>
    <row r="3" spans="1:11" ht="15.7" x14ac:dyDescent="0.55000000000000004">
      <c r="B3" s="80" t="s">
        <v>188</v>
      </c>
      <c r="C3" s="81"/>
      <c r="D3" s="81"/>
      <c r="E3" s="81"/>
      <c r="F3" s="81"/>
      <c r="G3" s="81"/>
      <c r="H3" s="81"/>
      <c r="I3" s="81"/>
      <c r="J3" s="81"/>
      <c r="K3" s="82"/>
    </row>
    <row r="4" spans="1:11" ht="33.450000000000003" customHeight="1" x14ac:dyDescent="0.5">
      <c r="B4" s="353" t="s">
        <v>189</v>
      </c>
      <c r="C4" s="354"/>
      <c r="D4" s="354"/>
      <c r="E4" s="354"/>
      <c r="F4" s="354"/>
      <c r="G4" s="354"/>
      <c r="H4" s="354"/>
      <c r="I4" s="354"/>
      <c r="J4" s="354"/>
      <c r="K4" s="355"/>
    </row>
    <row r="5" spans="1:11" ht="33.450000000000003" customHeight="1" x14ac:dyDescent="0.5">
      <c r="B5" s="356"/>
      <c r="C5" s="354"/>
      <c r="D5" s="354"/>
      <c r="E5" s="354"/>
      <c r="F5" s="354"/>
      <c r="G5" s="354"/>
      <c r="H5" s="354"/>
      <c r="I5" s="354"/>
      <c r="J5" s="354"/>
      <c r="K5" s="355"/>
    </row>
    <row r="6" spans="1:11" ht="33.450000000000003" customHeight="1" x14ac:dyDescent="0.5">
      <c r="B6" s="356"/>
      <c r="C6" s="354"/>
      <c r="D6" s="354"/>
      <c r="E6" s="354"/>
      <c r="F6" s="354"/>
      <c r="G6" s="354"/>
      <c r="H6" s="354"/>
      <c r="I6" s="354"/>
      <c r="J6" s="354"/>
      <c r="K6" s="355"/>
    </row>
    <row r="7" spans="1:11" ht="33.450000000000003" customHeight="1" x14ac:dyDescent="0.5">
      <c r="B7" s="356"/>
      <c r="C7" s="354"/>
      <c r="D7" s="354"/>
      <c r="E7" s="354"/>
      <c r="F7" s="354"/>
      <c r="G7" s="354"/>
      <c r="H7" s="354"/>
      <c r="I7" s="354"/>
      <c r="J7" s="354"/>
      <c r="K7" s="355"/>
    </row>
    <row r="8" spans="1:11" ht="33.450000000000003" customHeight="1" x14ac:dyDescent="0.5">
      <c r="B8" s="356"/>
      <c r="C8" s="354"/>
      <c r="D8" s="354"/>
      <c r="E8" s="354"/>
      <c r="F8" s="354"/>
      <c r="G8" s="354"/>
      <c r="H8" s="354"/>
      <c r="I8" s="354"/>
      <c r="J8" s="354"/>
      <c r="K8" s="355"/>
    </row>
    <row r="9" spans="1:11" ht="33.450000000000003" customHeight="1" x14ac:dyDescent="0.5">
      <c r="B9" s="356"/>
      <c r="C9" s="354"/>
      <c r="D9" s="354"/>
      <c r="E9" s="354"/>
      <c r="F9" s="354"/>
      <c r="G9" s="354"/>
      <c r="H9" s="354"/>
      <c r="I9" s="354"/>
      <c r="J9" s="354"/>
      <c r="K9" s="355"/>
    </row>
    <row r="10" spans="1:11" ht="33.450000000000003" customHeight="1" x14ac:dyDescent="0.5">
      <c r="B10" s="356"/>
      <c r="C10" s="354"/>
      <c r="D10" s="354"/>
      <c r="E10" s="354"/>
      <c r="F10" s="354"/>
      <c r="G10" s="354"/>
      <c r="H10" s="354"/>
      <c r="I10" s="354"/>
      <c r="J10" s="354"/>
      <c r="K10" s="355"/>
    </row>
    <row r="11" spans="1:11" ht="33.450000000000003" customHeight="1" x14ac:dyDescent="0.5">
      <c r="B11" s="356"/>
      <c r="C11" s="354"/>
      <c r="D11" s="354"/>
      <c r="E11" s="354"/>
      <c r="F11" s="354"/>
      <c r="G11" s="354"/>
      <c r="H11" s="354"/>
      <c r="I11" s="354"/>
      <c r="J11" s="354"/>
      <c r="K11" s="355"/>
    </row>
    <row r="12" spans="1:11" ht="33.450000000000003" customHeight="1" x14ac:dyDescent="0.5">
      <c r="B12" s="356"/>
      <c r="C12" s="354"/>
      <c r="D12" s="354"/>
      <c r="E12" s="354"/>
      <c r="F12" s="354"/>
      <c r="G12" s="354"/>
      <c r="H12" s="354"/>
      <c r="I12" s="354"/>
      <c r="J12" s="354"/>
      <c r="K12" s="355"/>
    </row>
    <row r="13" spans="1:11" ht="33.450000000000003" customHeight="1" x14ac:dyDescent="0.5">
      <c r="B13" s="356"/>
      <c r="C13" s="354"/>
      <c r="D13" s="354"/>
      <c r="E13" s="354"/>
      <c r="F13" s="354"/>
      <c r="G13" s="354"/>
      <c r="H13" s="354"/>
      <c r="I13" s="354"/>
      <c r="J13" s="354"/>
      <c r="K13" s="355"/>
    </row>
    <row r="14" spans="1:11" ht="33.450000000000003" customHeight="1" x14ac:dyDescent="0.5">
      <c r="B14" s="356"/>
      <c r="C14" s="354"/>
      <c r="D14" s="354"/>
      <c r="E14" s="354"/>
      <c r="F14" s="354"/>
      <c r="G14" s="354"/>
      <c r="H14" s="354"/>
      <c r="I14" s="354"/>
      <c r="J14" s="354"/>
      <c r="K14" s="355"/>
    </row>
    <row r="15" spans="1:11" ht="33.450000000000003" customHeight="1" thickBot="1" x14ac:dyDescent="0.55000000000000004">
      <c r="B15" s="357"/>
      <c r="C15" s="358"/>
      <c r="D15" s="358"/>
      <c r="E15" s="358"/>
      <c r="F15" s="358"/>
      <c r="G15" s="358"/>
      <c r="H15" s="358"/>
      <c r="I15" s="358"/>
      <c r="J15" s="358"/>
      <c r="K15" s="359"/>
    </row>
    <row r="16" spans="1:11" ht="14.35" customHeight="1" x14ac:dyDescent="0.5"/>
    <row r="17" x14ac:dyDescent="0.5"/>
    <row r="18" x14ac:dyDescent="0.5"/>
    <row r="19" x14ac:dyDescent="0.5"/>
    <row r="20" x14ac:dyDescent="0.5"/>
    <row r="21" x14ac:dyDescent="0.5"/>
    <row r="22" x14ac:dyDescent="0.5"/>
    <row r="23" x14ac:dyDescent="0.5"/>
    <row r="24" x14ac:dyDescent="0.5"/>
    <row r="25" x14ac:dyDescent="0.5"/>
    <row r="26" x14ac:dyDescent="0.5"/>
    <row r="27" x14ac:dyDescent="0.5"/>
    <row r="28" x14ac:dyDescent="0.5"/>
  </sheetData>
  <mergeCells count="1">
    <mergeCell ref="B4:K15"/>
  </mergeCells>
  <pageMargins left="0.7" right="0.7" top="0.75" bottom="0.75" header="0.3" footer="0.3"/>
  <pageSetup orientation="portrait" horizontalDpi="4294967293" verticalDpi="4294967293"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AR186"/>
  <sheetViews>
    <sheetView showGridLines="0" workbookViewId="0">
      <pane ySplit="11" topLeftCell="A95" activePane="bottomLeft" state="frozen"/>
      <selection activeCell="N89" sqref="N89"/>
      <selection pane="bottomLeft" activeCell="G105" sqref="G105"/>
    </sheetView>
  </sheetViews>
  <sheetFormatPr defaultColWidth="0" defaultRowHeight="14.35" outlineLevelRow="1" x14ac:dyDescent="0.5"/>
  <cols>
    <col min="1" max="2" width="2.3515625" style="1" customWidth="1"/>
    <col min="3" max="3" width="2.3515625" style="76" customWidth="1"/>
    <col min="4" max="4" width="11.41015625" style="76" customWidth="1"/>
    <col min="5" max="6" width="11.41015625" style="1" customWidth="1"/>
    <col min="7" max="18" width="11.41015625" style="18" customWidth="1"/>
    <col min="19" max="19" width="2.3515625" style="1" customWidth="1"/>
    <col min="20" max="44" width="0" style="1" hidden="1" customWidth="1"/>
    <col min="45" max="16384" width="10.64453125" style="1" hidden="1"/>
  </cols>
  <sheetData>
    <row r="1" spans="1:19" s="4" customFormat="1" ht="18" x14ac:dyDescent="0.6">
      <c r="A1" s="5" t="s">
        <v>88</v>
      </c>
      <c r="G1" s="17"/>
      <c r="H1" s="17"/>
      <c r="I1" s="17"/>
      <c r="J1" s="17"/>
      <c r="K1" s="17"/>
      <c r="L1" s="17"/>
      <c r="M1" s="17"/>
      <c r="N1" s="17"/>
      <c r="O1" s="17"/>
      <c r="P1" s="17"/>
      <c r="R1" s="17"/>
      <c r="S1" s="33"/>
    </row>
    <row r="3" spans="1:19" ht="14.7" thickBot="1" x14ac:dyDescent="0.55000000000000004">
      <c r="B3" s="278" t="s">
        <v>27</v>
      </c>
      <c r="C3" s="279"/>
      <c r="D3" s="279"/>
      <c r="E3" s="259"/>
      <c r="F3" s="259"/>
      <c r="G3" s="280"/>
      <c r="H3" s="280"/>
      <c r="I3" s="280"/>
      <c r="J3" s="280"/>
      <c r="K3" s="280"/>
      <c r="L3" s="280"/>
      <c r="M3" s="280"/>
      <c r="N3" s="280"/>
      <c r="O3" s="280"/>
      <c r="P3" s="282"/>
    </row>
    <row r="4" spans="1:19" ht="15" thickTop="1" thickBot="1" x14ac:dyDescent="0.55000000000000004">
      <c r="B4" s="267"/>
      <c r="C4" s="78" t="s">
        <v>179</v>
      </c>
      <c r="D4" s="78"/>
      <c r="E4" s="64"/>
      <c r="F4" s="64"/>
      <c r="G4" s="268"/>
      <c r="H4" s="268"/>
      <c r="I4" s="268"/>
      <c r="J4" s="268"/>
      <c r="L4" s="32">
        <v>2</v>
      </c>
      <c r="M4" s="346" t="str">
        <f>+"Currently Selected: "&amp;CHOOSE($L$4,B57,B101, B145)</f>
        <v>Currently Selected: Technically Recyclable in NYC</v>
      </c>
      <c r="P4" s="270"/>
    </row>
    <row r="5" spans="1:19" s="55" customFormat="1" ht="3" customHeight="1" thickTop="1" x14ac:dyDescent="0.5">
      <c r="B5" s="271"/>
      <c r="C5" s="272"/>
      <c r="D5" s="272"/>
      <c r="E5" s="273"/>
      <c r="F5" s="273"/>
      <c r="G5" s="274"/>
      <c r="H5" s="274"/>
      <c r="I5" s="274"/>
      <c r="J5" s="274"/>
      <c r="K5" s="275"/>
      <c r="L5" s="276"/>
      <c r="M5" s="285"/>
      <c r="N5" s="275"/>
      <c r="O5" s="285"/>
      <c r="P5" s="277"/>
      <c r="Q5" s="264"/>
      <c r="R5" s="264"/>
    </row>
    <row r="6" spans="1:19" ht="7.1" customHeight="1" x14ac:dyDescent="0.5"/>
    <row r="7" spans="1:19" x14ac:dyDescent="0.5">
      <c r="B7" s="6" t="s">
        <v>92</v>
      </c>
    </row>
    <row r="8" spans="1:19" ht="7.1" customHeight="1" thickBot="1" x14ac:dyDescent="0.55000000000000004"/>
    <row r="9" spans="1:19" ht="15.7" x14ac:dyDescent="0.55000000000000004">
      <c r="B9" s="205"/>
      <c r="C9" s="198"/>
      <c r="D9" s="198"/>
      <c r="E9" s="197"/>
      <c r="F9" s="66"/>
      <c r="G9" s="209" t="s">
        <v>73</v>
      </c>
      <c r="H9" s="210"/>
      <c r="I9" s="210"/>
      <c r="J9" s="210"/>
      <c r="K9" s="377" t="s">
        <v>72</v>
      </c>
      <c r="L9" s="378"/>
      <c r="M9" s="378"/>
      <c r="N9" s="378"/>
      <c r="O9" s="379"/>
      <c r="P9" s="380" t="s">
        <v>4</v>
      </c>
      <c r="Q9" s="381"/>
      <c r="R9" s="384"/>
    </row>
    <row r="10" spans="1:19" s="65" customFormat="1" ht="15.7" x14ac:dyDescent="0.55000000000000004">
      <c r="B10" s="199"/>
      <c r="C10" s="200"/>
      <c r="D10" s="200"/>
      <c r="E10" s="201"/>
      <c r="F10" s="201"/>
      <c r="G10" s="202" t="s">
        <v>69</v>
      </c>
      <c r="H10" s="59" t="s">
        <v>70</v>
      </c>
      <c r="I10" s="59" t="s">
        <v>61</v>
      </c>
      <c r="J10" s="59" t="s">
        <v>182</v>
      </c>
      <c r="K10" s="202"/>
      <c r="L10" s="59"/>
      <c r="M10" s="59"/>
      <c r="N10" s="59" t="s">
        <v>26</v>
      </c>
      <c r="O10" s="242" t="s">
        <v>71</v>
      </c>
      <c r="P10" s="59"/>
      <c r="Q10" s="59"/>
      <c r="R10" s="255"/>
    </row>
    <row r="11" spans="1:19" s="65" customFormat="1" ht="16" thickBot="1" x14ac:dyDescent="0.6">
      <c r="B11" s="67"/>
      <c r="C11" s="68"/>
      <c r="D11" s="68"/>
      <c r="E11" s="68"/>
      <c r="F11" s="68"/>
      <c r="G11" s="58" t="s">
        <v>0</v>
      </c>
      <c r="H11" s="29" t="s">
        <v>0</v>
      </c>
      <c r="I11" s="29" t="s">
        <v>62</v>
      </c>
      <c r="J11" s="29" t="s">
        <v>62</v>
      </c>
      <c r="K11" s="58" t="s">
        <v>41</v>
      </c>
      <c r="L11" s="29" t="s">
        <v>42</v>
      </c>
      <c r="M11" s="29" t="s">
        <v>43</v>
      </c>
      <c r="N11" s="29" t="s">
        <v>40</v>
      </c>
      <c r="O11" s="243" t="s">
        <v>183</v>
      </c>
      <c r="P11" s="29" t="s">
        <v>2</v>
      </c>
      <c r="Q11" s="29" t="s">
        <v>1</v>
      </c>
      <c r="R11" s="256" t="s">
        <v>3</v>
      </c>
    </row>
    <row r="12" spans="1:19" s="64" customFormat="1" ht="4.0999999999999996" customHeight="1" thickBot="1" x14ac:dyDescent="0.6">
      <c r="G12" s="59"/>
      <c r="H12" s="59"/>
      <c r="I12" s="59"/>
      <c r="J12" s="59"/>
      <c r="K12" s="59"/>
      <c r="L12" s="59"/>
      <c r="M12" s="59"/>
      <c r="N12" s="59"/>
      <c r="O12" s="59"/>
      <c r="P12" s="59"/>
      <c r="Q12" s="59"/>
      <c r="R12" s="59"/>
    </row>
    <row r="13" spans="1:19" ht="14.7" thickBot="1" x14ac:dyDescent="0.55000000000000004">
      <c r="B13" s="124" t="s">
        <v>30</v>
      </c>
      <c r="C13" s="125"/>
      <c r="D13" s="125"/>
      <c r="E13" s="126"/>
      <c r="F13" s="126"/>
      <c r="G13" s="127"/>
      <c r="H13" s="237"/>
      <c r="I13" s="128"/>
      <c r="J13" s="128"/>
      <c r="K13" s="128"/>
      <c r="L13" s="128"/>
      <c r="M13" s="128"/>
      <c r="N13" s="128"/>
      <c r="O13" s="237"/>
      <c r="P13" s="128"/>
      <c r="Q13" s="128"/>
      <c r="R13" s="247"/>
    </row>
    <row r="14" spans="1:19" outlineLevel="1" x14ac:dyDescent="0.5">
      <c r="B14" s="84" t="s">
        <v>21</v>
      </c>
      <c r="C14" s="77"/>
      <c r="D14" s="77"/>
      <c r="E14" s="9"/>
      <c r="F14" s="9"/>
      <c r="G14" s="50"/>
      <c r="H14" s="60"/>
      <c r="I14" s="60"/>
      <c r="J14" s="238"/>
      <c r="K14" s="60"/>
      <c r="L14" s="60"/>
      <c r="M14" s="60"/>
      <c r="N14" s="20"/>
      <c r="O14" s="238"/>
      <c r="P14" s="20"/>
      <c r="Q14" s="20"/>
      <c r="R14" s="248"/>
    </row>
    <row r="15" spans="1:19" outlineLevel="1" x14ac:dyDescent="0.5">
      <c r="B15" s="14" t="s">
        <v>59</v>
      </c>
      <c r="C15" s="1"/>
      <c r="D15" s="1"/>
      <c r="G15" s="52"/>
      <c r="H15" s="61"/>
      <c r="I15" s="61"/>
      <c r="J15" s="239"/>
      <c r="K15" s="61"/>
      <c r="L15" s="61"/>
      <c r="M15" s="61"/>
      <c r="N15" s="21"/>
      <c r="O15" s="239"/>
      <c r="P15" s="21"/>
      <c r="Q15" s="21"/>
      <c r="R15" s="249"/>
    </row>
    <row r="16" spans="1:19" outlineLevel="1" x14ac:dyDescent="0.5">
      <c r="B16" s="14"/>
      <c r="C16" s="2" t="s">
        <v>52</v>
      </c>
      <c r="D16" s="1"/>
      <c r="G16" s="52">
        <f t="shared" ref="G16:R16" si="0">CHOOSE($L$4,G60,G104,G148)</f>
        <v>1</v>
      </c>
      <c r="H16" s="21">
        <f t="shared" si="0"/>
        <v>1</v>
      </c>
      <c r="I16" s="21">
        <f t="shared" si="0"/>
        <v>0</v>
      </c>
      <c r="J16" s="239">
        <f t="shared" si="0"/>
        <v>0</v>
      </c>
      <c r="K16" s="21">
        <f t="shared" si="0"/>
        <v>0</v>
      </c>
      <c r="L16" s="61">
        <f t="shared" si="0"/>
        <v>0</v>
      </c>
      <c r="M16" s="61">
        <f t="shared" si="0"/>
        <v>0</v>
      </c>
      <c r="N16" s="21">
        <f t="shared" si="0"/>
        <v>0</v>
      </c>
      <c r="O16" s="239">
        <f t="shared" si="0"/>
        <v>0</v>
      </c>
      <c r="P16" s="21">
        <f t="shared" si="0"/>
        <v>0</v>
      </c>
      <c r="Q16" s="21">
        <f t="shared" si="0"/>
        <v>0</v>
      </c>
      <c r="R16" s="249">
        <f t="shared" si="0"/>
        <v>0</v>
      </c>
    </row>
    <row r="17" spans="1:19" outlineLevel="1" x14ac:dyDescent="0.5">
      <c r="B17" s="85"/>
      <c r="C17" s="2" t="s">
        <v>4</v>
      </c>
      <c r="D17" s="1"/>
      <c r="G17" s="52">
        <f t="shared" ref="G17:O17" si="1">CHOOSE($L$4,G61,G105,G149)</f>
        <v>0.5</v>
      </c>
      <c r="H17" s="21">
        <f t="shared" si="1"/>
        <v>0</v>
      </c>
      <c r="I17" s="21">
        <f t="shared" si="1"/>
        <v>0</v>
      </c>
      <c r="J17" s="239">
        <f t="shared" si="1"/>
        <v>0</v>
      </c>
      <c r="K17" s="61">
        <f t="shared" si="1"/>
        <v>0</v>
      </c>
      <c r="L17" s="61">
        <f t="shared" si="1"/>
        <v>0</v>
      </c>
      <c r="M17" s="61">
        <f t="shared" si="1"/>
        <v>0</v>
      </c>
      <c r="N17" s="21">
        <f t="shared" si="1"/>
        <v>0</v>
      </c>
      <c r="O17" s="239">
        <f t="shared" si="1"/>
        <v>0</v>
      </c>
      <c r="P17" s="21">
        <f t="shared" ref="P17:P19" si="2">CHOOSE($L$4,P61,P105,P149)</f>
        <v>0</v>
      </c>
      <c r="Q17" s="21">
        <f t="shared" ref="Q17:R19" si="3">CHOOSE($L$4,Q61,Q105,Q149)</f>
        <v>0</v>
      </c>
      <c r="R17" s="249">
        <f t="shared" si="3"/>
        <v>0</v>
      </c>
    </row>
    <row r="18" spans="1:19" outlineLevel="1" x14ac:dyDescent="0.5">
      <c r="B18" s="14" t="s">
        <v>5</v>
      </c>
      <c r="C18" s="1"/>
      <c r="D18" s="1"/>
      <c r="E18" s="2"/>
      <c r="F18" s="2"/>
      <c r="G18" s="52">
        <f>CHOOSE($L$4,G62,G106,G150)</f>
        <v>0.5</v>
      </c>
      <c r="H18" s="21">
        <f>CHOOSE($L$4,H62,H106,H150)</f>
        <v>1</v>
      </c>
      <c r="I18" s="21">
        <f t="shared" ref="I18:J18" si="4">CHOOSE($L$4,I62,I106,I150)</f>
        <v>1</v>
      </c>
      <c r="J18" s="239">
        <f t="shared" si="4"/>
        <v>1</v>
      </c>
      <c r="K18" s="61">
        <f t="shared" ref="K18:O19" si="5">CHOOSE($L$4,K62,K106,K150)</f>
        <v>1</v>
      </c>
      <c r="L18" s="61">
        <f t="shared" si="5"/>
        <v>1</v>
      </c>
      <c r="M18" s="61">
        <f t="shared" si="5"/>
        <v>1</v>
      </c>
      <c r="N18" s="21">
        <f t="shared" si="5"/>
        <v>0</v>
      </c>
      <c r="O18" s="239">
        <f t="shared" si="5"/>
        <v>0</v>
      </c>
      <c r="P18" s="21">
        <f t="shared" si="2"/>
        <v>0</v>
      </c>
      <c r="Q18" s="21">
        <f t="shared" si="3"/>
        <v>0</v>
      </c>
      <c r="R18" s="249">
        <f t="shared" si="3"/>
        <v>0</v>
      </c>
    </row>
    <row r="19" spans="1:19" outlineLevel="1" x14ac:dyDescent="0.5">
      <c r="B19" s="14" t="s">
        <v>6</v>
      </c>
      <c r="C19" s="1"/>
      <c r="D19" s="1"/>
      <c r="G19" s="52">
        <f>CHOOSE($L$4,G63,G107,G151)</f>
        <v>0.5</v>
      </c>
      <c r="H19" s="21">
        <f>CHOOSE($L$4,H63,H107,H151)</f>
        <v>0</v>
      </c>
      <c r="I19" s="21">
        <f t="shared" ref="I19:J19" si="6">CHOOSE($L$4,I63,I107,I151)</f>
        <v>1</v>
      </c>
      <c r="J19" s="239">
        <f t="shared" si="6"/>
        <v>1</v>
      </c>
      <c r="K19" s="61">
        <f t="shared" si="5"/>
        <v>1</v>
      </c>
      <c r="L19" s="61">
        <f t="shared" si="5"/>
        <v>1</v>
      </c>
      <c r="M19" s="61">
        <f t="shared" si="5"/>
        <v>1</v>
      </c>
      <c r="N19" s="21">
        <f t="shared" si="5"/>
        <v>0</v>
      </c>
      <c r="O19" s="239">
        <f t="shared" si="5"/>
        <v>0</v>
      </c>
      <c r="P19" s="21">
        <f t="shared" si="2"/>
        <v>0</v>
      </c>
      <c r="Q19" s="21">
        <f t="shared" si="3"/>
        <v>1</v>
      </c>
      <c r="R19" s="249">
        <f t="shared" si="3"/>
        <v>0</v>
      </c>
    </row>
    <row r="20" spans="1:19" ht="7.1" customHeight="1" outlineLevel="1" x14ac:dyDescent="0.5">
      <c r="B20" s="85"/>
      <c r="C20" s="1"/>
      <c r="D20" s="1"/>
      <c r="G20" s="52"/>
      <c r="H20" s="21"/>
      <c r="I20" s="21"/>
      <c r="J20" s="239"/>
      <c r="K20" s="61"/>
      <c r="L20" s="61"/>
      <c r="M20" s="61"/>
      <c r="N20" s="21"/>
      <c r="O20" s="239"/>
      <c r="P20" s="21"/>
      <c r="Q20" s="21"/>
      <c r="R20" s="249"/>
    </row>
    <row r="21" spans="1:19" s="9" customFormat="1" outlineLevel="1" x14ac:dyDescent="0.5">
      <c r="A21" s="1"/>
      <c r="B21" s="86" t="s">
        <v>22</v>
      </c>
      <c r="G21" s="51"/>
      <c r="H21" s="22"/>
      <c r="I21" s="22"/>
      <c r="J21" s="240"/>
      <c r="K21" s="62"/>
      <c r="L21" s="62"/>
      <c r="M21" s="62"/>
      <c r="N21" s="22"/>
      <c r="O21" s="240"/>
      <c r="P21" s="22"/>
      <c r="Q21" s="22"/>
      <c r="R21" s="250"/>
      <c r="S21" s="1"/>
    </row>
    <row r="22" spans="1:19" outlineLevel="1" x14ac:dyDescent="0.5">
      <c r="B22" s="14" t="s">
        <v>53</v>
      </c>
      <c r="C22" s="1"/>
      <c r="D22" s="1"/>
      <c r="G22" s="52"/>
      <c r="H22" s="21"/>
      <c r="I22" s="21"/>
      <c r="J22" s="239"/>
      <c r="K22" s="61"/>
      <c r="L22" s="61"/>
      <c r="M22" s="61"/>
      <c r="N22" s="21"/>
      <c r="O22" s="239"/>
      <c r="P22" s="21"/>
      <c r="Q22" s="21"/>
      <c r="R22" s="249"/>
    </row>
    <row r="23" spans="1:19" outlineLevel="1" x14ac:dyDescent="0.5">
      <c r="B23" s="14"/>
      <c r="C23" s="2" t="s">
        <v>47</v>
      </c>
      <c r="D23" s="1"/>
      <c r="G23" s="52">
        <f t="shared" ref="G23:R23" si="7">CHOOSE($L$4,G67,G111,G155)</f>
        <v>0</v>
      </c>
      <c r="H23" s="21">
        <f t="shared" si="7"/>
        <v>0</v>
      </c>
      <c r="I23" s="21">
        <f t="shared" si="7"/>
        <v>0</v>
      </c>
      <c r="J23" s="239">
        <f t="shared" si="7"/>
        <v>0</v>
      </c>
      <c r="K23" s="61">
        <f t="shared" si="7"/>
        <v>0</v>
      </c>
      <c r="L23" s="61">
        <f t="shared" si="7"/>
        <v>0</v>
      </c>
      <c r="M23" s="61">
        <f t="shared" si="7"/>
        <v>1</v>
      </c>
      <c r="N23" s="21">
        <f t="shared" si="7"/>
        <v>0</v>
      </c>
      <c r="O23" s="239">
        <f t="shared" si="7"/>
        <v>0</v>
      </c>
      <c r="P23" s="21">
        <f t="shared" si="7"/>
        <v>0</v>
      </c>
      <c r="Q23" s="21">
        <f t="shared" si="7"/>
        <v>0</v>
      </c>
      <c r="R23" s="249">
        <f t="shared" si="7"/>
        <v>0</v>
      </c>
    </row>
    <row r="24" spans="1:19" outlineLevel="1" x14ac:dyDescent="0.5">
      <c r="B24" s="85"/>
      <c r="C24" s="2" t="s">
        <v>48</v>
      </c>
      <c r="D24" s="1"/>
      <c r="E24" s="2"/>
      <c r="F24" s="2"/>
      <c r="G24" s="52">
        <f t="shared" ref="G24:H26" si="8">CHOOSE($L$4,G68,G112,G156)</f>
        <v>0</v>
      </c>
      <c r="H24" s="21">
        <f t="shared" si="8"/>
        <v>0</v>
      </c>
      <c r="I24" s="21">
        <f t="shared" ref="I24:J26" si="9">CHOOSE($L$4,I68,I112,I156)</f>
        <v>0</v>
      </c>
      <c r="J24" s="239">
        <f t="shared" si="9"/>
        <v>0</v>
      </c>
      <c r="K24" s="61">
        <f t="shared" ref="K24:R26" si="10">CHOOSE($L$4,K68,K112,K156)</f>
        <v>1</v>
      </c>
      <c r="L24" s="61">
        <f t="shared" si="10"/>
        <v>0</v>
      </c>
      <c r="M24" s="61">
        <f t="shared" si="10"/>
        <v>1</v>
      </c>
      <c r="N24" s="21">
        <f t="shared" si="10"/>
        <v>0</v>
      </c>
      <c r="O24" s="239">
        <f t="shared" si="10"/>
        <v>0</v>
      </c>
      <c r="P24" s="21">
        <f t="shared" si="10"/>
        <v>0</v>
      </c>
      <c r="Q24" s="21">
        <f t="shared" si="10"/>
        <v>0</v>
      </c>
      <c r="R24" s="249">
        <f t="shared" si="10"/>
        <v>0</v>
      </c>
    </row>
    <row r="25" spans="1:19" outlineLevel="1" x14ac:dyDescent="0.5">
      <c r="B25" s="14" t="s">
        <v>46</v>
      </c>
      <c r="C25" s="2"/>
      <c r="D25" s="1"/>
      <c r="E25" s="2"/>
      <c r="F25" s="2"/>
      <c r="G25" s="52">
        <f t="shared" si="8"/>
        <v>0</v>
      </c>
      <c r="H25" s="21">
        <f t="shared" si="8"/>
        <v>0</v>
      </c>
      <c r="I25" s="21">
        <f t="shared" si="9"/>
        <v>0</v>
      </c>
      <c r="J25" s="239">
        <f t="shared" si="9"/>
        <v>0</v>
      </c>
      <c r="K25" s="61">
        <f t="shared" si="10"/>
        <v>1</v>
      </c>
      <c r="L25" s="61">
        <f t="shared" si="10"/>
        <v>0</v>
      </c>
      <c r="M25" s="61">
        <f t="shared" si="10"/>
        <v>1</v>
      </c>
      <c r="N25" s="21">
        <f t="shared" si="10"/>
        <v>0</v>
      </c>
      <c r="O25" s="239">
        <f t="shared" si="10"/>
        <v>0</v>
      </c>
      <c r="P25" s="21">
        <f t="shared" si="10"/>
        <v>0</v>
      </c>
      <c r="Q25" s="21">
        <f t="shared" si="10"/>
        <v>0</v>
      </c>
      <c r="R25" s="249">
        <f t="shared" si="10"/>
        <v>0</v>
      </c>
    </row>
    <row r="26" spans="1:19" outlineLevel="1" x14ac:dyDescent="0.5">
      <c r="B26" s="14" t="s">
        <v>8</v>
      </c>
      <c r="C26" s="1"/>
      <c r="D26" s="1"/>
      <c r="E26" s="2"/>
      <c r="F26" s="2"/>
      <c r="G26" s="52">
        <f t="shared" si="8"/>
        <v>0</v>
      </c>
      <c r="H26" s="21">
        <f t="shared" si="8"/>
        <v>0</v>
      </c>
      <c r="I26" s="21">
        <f t="shared" si="9"/>
        <v>1</v>
      </c>
      <c r="J26" s="239">
        <f t="shared" si="9"/>
        <v>0</v>
      </c>
      <c r="K26" s="61">
        <f t="shared" si="10"/>
        <v>1</v>
      </c>
      <c r="L26" s="61">
        <f t="shared" si="10"/>
        <v>1</v>
      </c>
      <c r="M26" s="61">
        <f t="shared" si="10"/>
        <v>1</v>
      </c>
      <c r="N26" s="21">
        <f t="shared" si="10"/>
        <v>0</v>
      </c>
      <c r="O26" s="239">
        <f t="shared" si="10"/>
        <v>0</v>
      </c>
      <c r="P26" s="21">
        <f t="shared" si="10"/>
        <v>0</v>
      </c>
      <c r="Q26" s="21">
        <f t="shared" si="10"/>
        <v>0</v>
      </c>
      <c r="R26" s="249">
        <f t="shared" si="10"/>
        <v>0</v>
      </c>
    </row>
    <row r="27" spans="1:19" ht="7.1" customHeight="1" outlineLevel="1" x14ac:dyDescent="0.5">
      <c r="B27" s="85"/>
      <c r="C27" s="1"/>
      <c r="D27" s="1"/>
      <c r="E27" s="2"/>
      <c r="F27" s="2"/>
      <c r="G27" s="52"/>
      <c r="H27" s="21"/>
      <c r="I27" s="21"/>
      <c r="J27" s="239"/>
      <c r="K27" s="61"/>
      <c r="L27" s="61"/>
      <c r="M27" s="61"/>
      <c r="N27" s="21"/>
      <c r="O27" s="239"/>
      <c r="P27" s="21"/>
      <c r="Q27" s="21"/>
      <c r="R27" s="249"/>
    </row>
    <row r="28" spans="1:19" s="9" customFormat="1" outlineLevel="1" x14ac:dyDescent="0.5">
      <c r="A28" s="1"/>
      <c r="B28" s="84" t="s">
        <v>23</v>
      </c>
      <c r="G28" s="51"/>
      <c r="H28" s="22"/>
      <c r="I28" s="22"/>
      <c r="J28" s="240"/>
      <c r="K28" s="62"/>
      <c r="L28" s="62"/>
      <c r="M28" s="62"/>
      <c r="N28" s="22"/>
      <c r="O28" s="240"/>
      <c r="P28" s="22"/>
      <c r="Q28" s="22"/>
      <c r="R28" s="250"/>
      <c r="S28" s="1"/>
    </row>
    <row r="29" spans="1:19" outlineLevel="1" x14ac:dyDescent="0.5">
      <c r="B29" s="14" t="s">
        <v>45</v>
      </c>
      <c r="C29" s="1"/>
      <c r="D29" s="1"/>
      <c r="E29" s="2"/>
      <c r="F29" s="2"/>
      <c r="G29" s="52">
        <f t="shared" ref="G29:I30" si="11">CHOOSE($L$4,G73,G117,G161)</f>
        <v>0</v>
      </c>
      <c r="H29" s="21">
        <f t="shared" si="11"/>
        <v>1</v>
      </c>
      <c r="I29" s="21">
        <f t="shared" si="11"/>
        <v>0</v>
      </c>
      <c r="J29" s="239">
        <f t="shared" ref="J29" si="12">CHOOSE($L$4,J73,J117,J161)</f>
        <v>0</v>
      </c>
      <c r="K29" s="61">
        <f t="shared" ref="K29:R30" si="13">CHOOSE($L$4,K73,K117,K161)</f>
        <v>0</v>
      </c>
      <c r="L29" s="61">
        <f t="shared" si="13"/>
        <v>0</v>
      </c>
      <c r="M29" s="61">
        <f t="shared" si="13"/>
        <v>0</v>
      </c>
      <c r="N29" s="21">
        <f t="shared" si="13"/>
        <v>0</v>
      </c>
      <c r="O29" s="239">
        <f t="shared" si="13"/>
        <v>0</v>
      </c>
      <c r="P29" s="21">
        <f t="shared" si="13"/>
        <v>0</v>
      </c>
      <c r="Q29" s="21">
        <f t="shared" si="13"/>
        <v>0</v>
      </c>
      <c r="R29" s="249">
        <f t="shared" si="13"/>
        <v>0</v>
      </c>
    </row>
    <row r="30" spans="1:19" outlineLevel="1" x14ac:dyDescent="0.5">
      <c r="B30" s="14" t="s">
        <v>9</v>
      </c>
      <c r="C30" s="1"/>
      <c r="D30" s="1"/>
      <c r="E30" s="2"/>
      <c r="F30" s="2"/>
      <c r="G30" s="52">
        <f t="shared" si="11"/>
        <v>0.5</v>
      </c>
      <c r="H30" s="21">
        <f t="shared" si="11"/>
        <v>0</v>
      </c>
      <c r="I30" s="21">
        <f t="shared" si="11"/>
        <v>0</v>
      </c>
      <c r="J30" s="239">
        <f t="shared" ref="J30" si="14">CHOOSE($L$4,J74,J118,J162)</f>
        <v>0</v>
      </c>
      <c r="K30" s="61">
        <f t="shared" si="13"/>
        <v>0</v>
      </c>
      <c r="L30" s="61">
        <f t="shared" si="13"/>
        <v>0</v>
      </c>
      <c r="M30" s="61">
        <f t="shared" si="13"/>
        <v>0</v>
      </c>
      <c r="N30" s="21">
        <f t="shared" si="13"/>
        <v>0</v>
      </c>
      <c r="O30" s="239">
        <f t="shared" si="13"/>
        <v>0</v>
      </c>
      <c r="P30" s="21">
        <f t="shared" si="13"/>
        <v>0</v>
      </c>
      <c r="Q30" s="21">
        <f t="shared" si="13"/>
        <v>0</v>
      </c>
      <c r="R30" s="249">
        <f t="shared" si="13"/>
        <v>0</v>
      </c>
    </row>
    <row r="31" spans="1:19" ht="7.1" customHeight="1" outlineLevel="1" x14ac:dyDescent="0.5">
      <c r="B31" s="85"/>
      <c r="C31" s="1"/>
      <c r="D31" s="1"/>
      <c r="G31" s="52"/>
      <c r="H31" s="21"/>
      <c r="I31" s="21"/>
      <c r="J31" s="239"/>
      <c r="K31" s="61"/>
      <c r="L31" s="61"/>
      <c r="M31" s="61"/>
      <c r="N31" s="21"/>
      <c r="O31" s="239"/>
      <c r="P31" s="21"/>
      <c r="Q31" s="21"/>
      <c r="R31" s="249"/>
    </row>
    <row r="32" spans="1:19" s="9" customFormat="1" outlineLevel="1" x14ac:dyDescent="0.5">
      <c r="A32" s="1"/>
      <c r="B32" s="84" t="s">
        <v>10</v>
      </c>
      <c r="G32" s="51"/>
      <c r="H32" s="22"/>
      <c r="I32" s="22"/>
      <c r="J32" s="240"/>
      <c r="K32" s="62"/>
      <c r="L32" s="62"/>
      <c r="M32" s="62"/>
      <c r="N32" s="22"/>
      <c r="O32" s="240"/>
      <c r="P32" s="22"/>
      <c r="Q32" s="22"/>
      <c r="R32" s="250"/>
      <c r="S32" s="1"/>
    </row>
    <row r="33" spans="1:19" outlineLevel="1" x14ac:dyDescent="0.5">
      <c r="B33" s="14" t="s">
        <v>49</v>
      </c>
      <c r="D33" s="1"/>
      <c r="G33" s="52">
        <f>CHOOSE($L$4,G77,G121,G165)</f>
        <v>0.5</v>
      </c>
      <c r="H33" s="21">
        <f>CHOOSE($L$4,H77,H121,H165)</f>
        <v>0</v>
      </c>
      <c r="I33" s="21">
        <f t="shared" ref="I33:I34" si="15">CHOOSE($L$4,I77,I121,I165)</f>
        <v>0</v>
      </c>
      <c r="J33" s="239">
        <f t="shared" ref="J33" si="16">CHOOSE($L$4,J77,J121,J165)</f>
        <v>0</v>
      </c>
      <c r="K33" s="61">
        <f t="shared" ref="K33:R34" si="17">CHOOSE($L$4,K77,K121,K165)</f>
        <v>0</v>
      </c>
      <c r="L33" s="61">
        <f t="shared" si="17"/>
        <v>0</v>
      </c>
      <c r="M33" s="61">
        <f t="shared" si="17"/>
        <v>0</v>
      </c>
      <c r="N33" s="21">
        <f t="shared" si="17"/>
        <v>0</v>
      </c>
      <c r="O33" s="239">
        <f t="shared" si="17"/>
        <v>0</v>
      </c>
      <c r="P33" s="21">
        <f t="shared" si="17"/>
        <v>0</v>
      </c>
      <c r="Q33" s="21">
        <f t="shared" si="17"/>
        <v>0</v>
      </c>
      <c r="R33" s="249">
        <f t="shared" si="17"/>
        <v>0</v>
      </c>
    </row>
    <row r="34" spans="1:19" outlineLevel="1" x14ac:dyDescent="0.5">
      <c r="B34" s="14" t="s">
        <v>50</v>
      </c>
      <c r="D34" s="1"/>
      <c r="G34" s="52">
        <f>CHOOSE($L$4,G78,G122,G166)</f>
        <v>0.5</v>
      </c>
      <c r="H34" s="21">
        <f>CHOOSE($L$4,H78,H122,H166)</f>
        <v>0</v>
      </c>
      <c r="I34" s="21">
        <f t="shared" si="15"/>
        <v>0</v>
      </c>
      <c r="J34" s="239">
        <f t="shared" ref="J34" si="18">CHOOSE($L$4,J78,J122,J166)</f>
        <v>0</v>
      </c>
      <c r="K34" s="61">
        <f t="shared" si="17"/>
        <v>1</v>
      </c>
      <c r="L34" s="61">
        <f t="shared" si="17"/>
        <v>1</v>
      </c>
      <c r="M34" s="61">
        <f t="shared" si="17"/>
        <v>1</v>
      </c>
      <c r="N34" s="21">
        <f t="shared" si="17"/>
        <v>0</v>
      </c>
      <c r="O34" s="239">
        <f t="shared" si="17"/>
        <v>0</v>
      </c>
      <c r="P34" s="21">
        <f t="shared" si="17"/>
        <v>0</v>
      </c>
      <c r="Q34" s="21">
        <f t="shared" si="17"/>
        <v>0</v>
      </c>
      <c r="R34" s="249">
        <f t="shared" si="17"/>
        <v>0</v>
      </c>
    </row>
    <row r="35" spans="1:19" ht="7.1" customHeight="1" outlineLevel="1" x14ac:dyDescent="0.5">
      <c r="B35" s="85"/>
      <c r="C35" s="1"/>
      <c r="D35" s="1"/>
      <c r="G35" s="52"/>
      <c r="H35" s="21"/>
      <c r="I35" s="21"/>
      <c r="J35" s="239"/>
      <c r="K35" s="61"/>
      <c r="L35" s="61"/>
      <c r="M35" s="61"/>
      <c r="N35" s="21"/>
      <c r="O35" s="239"/>
      <c r="P35" s="21"/>
      <c r="Q35" s="21"/>
      <c r="R35" s="249"/>
    </row>
    <row r="36" spans="1:19" s="9" customFormat="1" outlineLevel="1" x14ac:dyDescent="0.5">
      <c r="A36" s="1"/>
      <c r="B36" s="84" t="s">
        <v>24</v>
      </c>
      <c r="G36" s="51"/>
      <c r="H36" s="22"/>
      <c r="I36" s="22"/>
      <c r="J36" s="240"/>
      <c r="K36" s="62"/>
      <c r="L36" s="62"/>
      <c r="M36" s="62"/>
      <c r="N36" s="22"/>
      <c r="O36" s="240"/>
      <c r="P36" s="22"/>
      <c r="Q36" s="22"/>
      <c r="R36" s="250"/>
      <c r="S36" s="1"/>
    </row>
    <row r="37" spans="1:19" outlineLevel="1" x14ac:dyDescent="0.5">
      <c r="B37" s="14" t="s">
        <v>12</v>
      </c>
      <c r="C37" s="1"/>
      <c r="D37" s="1"/>
      <c r="G37" s="52"/>
      <c r="H37" s="21"/>
      <c r="I37" s="21"/>
      <c r="J37" s="239"/>
      <c r="K37" s="61"/>
      <c r="L37" s="61"/>
      <c r="M37" s="61"/>
      <c r="N37" s="21"/>
      <c r="O37" s="239"/>
      <c r="P37" s="21"/>
      <c r="Q37" s="21"/>
      <c r="R37" s="249"/>
    </row>
    <row r="38" spans="1:19" outlineLevel="1" x14ac:dyDescent="0.5">
      <c r="B38" s="85"/>
      <c r="C38" s="2" t="s">
        <v>13</v>
      </c>
      <c r="D38" s="2"/>
      <c r="E38" s="2"/>
      <c r="F38" s="2"/>
      <c r="G38" s="52">
        <f>CHOOSE($L$4,G82,G126,G170)</f>
        <v>0.5</v>
      </c>
      <c r="H38" s="21">
        <f>CHOOSE($L$4,H82,H126,H170)</f>
        <v>0</v>
      </c>
      <c r="I38" s="21">
        <f>CHOOSE($L$4,I82,I126,I170)</f>
        <v>1</v>
      </c>
      <c r="J38" s="239">
        <f t="shared" ref="J38" si="19">CHOOSE($L$4,J82,J126,J170)</f>
        <v>1</v>
      </c>
      <c r="K38" s="61">
        <f t="shared" ref="K38:R38" si="20">CHOOSE($L$4,K82,K126,K170)</f>
        <v>0</v>
      </c>
      <c r="L38" s="61">
        <f t="shared" si="20"/>
        <v>0</v>
      </c>
      <c r="M38" s="61">
        <f t="shared" si="20"/>
        <v>1</v>
      </c>
      <c r="N38" s="21">
        <f t="shared" si="20"/>
        <v>0</v>
      </c>
      <c r="O38" s="239">
        <f t="shared" si="20"/>
        <v>0</v>
      </c>
      <c r="P38" s="21">
        <f t="shared" si="20"/>
        <v>0</v>
      </c>
      <c r="Q38" s="21">
        <f t="shared" si="20"/>
        <v>0</v>
      </c>
      <c r="R38" s="249">
        <f t="shared" si="20"/>
        <v>0</v>
      </c>
    </row>
    <row r="39" spans="1:19" outlineLevel="1" x14ac:dyDescent="0.5">
      <c r="B39" s="13" t="s">
        <v>14</v>
      </c>
      <c r="C39" s="1"/>
      <c r="D39" s="1"/>
      <c r="G39" s="52"/>
      <c r="H39" s="21"/>
      <c r="I39" s="21"/>
      <c r="J39" s="239"/>
      <c r="K39" s="61"/>
      <c r="L39" s="61"/>
      <c r="M39" s="61"/>
      <c r="N39" s="21"/>
      <c r="O39" s="239"/>
      <c r="P39" s="21"/>
      <c r="Q39" s="21"/>
      <c r="R39" s="249"/>
    </row>
    <row r="40" spans="1:19" outlineLevel="1" x14ac:dyDescent="0.5">
      <c r="B40" s="13"/>
      <c r="C40" s="2" t="s">
        <v>15</v>
      </c>
      <c r="D40" s="1"/>
      <c r="G40" s="52">
        <f t="shared" ref="G40:H43" si="21">CHOOSE($L$4,G84,G128,G172)</f>
        <v>0</v>
      </c>
      <c r="H40" s="21">
        <f t="shared" si="21"/>
        <v>0</v>
      </c>
      <c r="I40" s="21">
        <f t="shared" ref="I40:I43" si="22">CHOOSE($L$4,I84,I128,I172)</f>
        <v>0</v>
      </c>
      <c r="J40" s="239">
        <f t="shared" ref="J40" si="23">CHOOSE($L$4,J84,J128,J172)</f>
        <v>0</v>
      </c>
      <c r="K40" s="61">
        <f t="shared" ref="K40:R43" si="24">CHOOSE($L$4,K84,K128,K172)</f>
        <v>0</v>
      </c>
      <c r="L40" s="61">
        <f t="shared" si="24"/>
        <v>1</v>
      </c>
      <c r="M40" s="61">
        <f t="shared" si="24"/>
        <v>1</v>
      </c>
      <c r="N40" s="21">
        <f t="shared" si="24"/>
        <v>0</v>
      </c>
      <c r="O40" s="239">
        <f t="shared" si="24"/>
        <v>0</v>
      </c>
      <c r="P40" s="21">
        <f t="shared" si="24"/>
        <v>0</v>
      </c>
      <c r="Q40" s="21">
        <f t="shared" si="24"/>
        <v>0</v>
      </c>
      <c r="R40" s="249">
        <f t="shared" si="24"/>
        <v>0</v>
      </c>
    </row>
    <row r="41" spans="1:19" outlineLevel="1" x14ac:dyDescent="0.5">
      <c r="B41" s="13"/>
      <c r="C41" s="2" t="s">
        <v>16</v>
      </c>
      <c r="D41" s="1"/>
      <c r="G41" s="52">
        <f t="shared" si="21"/>
        <v>0</v>
      </c>
      <c r="H41" s="21">
        <f t="shared" si="21"/>
        <v>0</v>
      </c>
      <c r="I41" s="21">
        <f t="shared" si="22"/>
        <v>0</v>
      </c>
      <c r="J41" s="239">
        <f t="shared" ref="J41" si="25">CHOOSE($L$4,J85,J129,J173)</f>
        <v>0</v>
      </c>
      <c r="K41" s="61">
        <f t="shared" si="24"/>
        <v>0</v>
      </c>
      <c r="L41" s="61">
        <f t="shared" si="24"/>
        <v>0</v>
      </c>
      <c r="M41" s="61">
        <f t="shared" si="24"/>
        <v>0</v>
      </c>
      <c r="N41" s="21">
        <f t="shared" si="24"/>
        <v>0</v>
      </c>
      <c r="O41" s="239">
        <f t="shared" si="24"/>
        <v>0</v>
      </c>
      <c r="P41" s="21">
        <f t="shared" si="24"/>
        <v>0</v>
      </c>
      <c r="Q41" s="21">
        <f t="shared" si="24"/>
        <v>0</v>
      </c>
      <c r="R41" s="249">
        <f t="shared" si="24"/>
        <v>0</v>
      </c>
    </row>
    <row r="42" spans="1:19" outlineLevel="1" x14ac:dyDescent="0.5">
      <c r="B42" s="13"/>
      <c r="C42" s="2" t="s">
        <v>17</v>
      </c>
      <c r="D42" s="1"/>
      <c r="G42" s="52">
        <f t="shared" si="21"/>
        <v>0</v>
      </c>
      <c r="H42" s="21">
        <f t="shared" si="21"/>
        <v>0</v>
      </c>
      <c r="I42" s="21">
        <f t="shared" si="22"/>
        <v>0</v>
      </c>
      <c r="J42" s="239">
        <f t="shared" ref="J42" si="26">CHOOSE($L$4,J86,J130,J174)</f>
        <v>0</v>
      </c>
      <c r="K42" s="61">
        <f t="shared" si="24"/>
        <v>0</v>
      </c>
      <c r="L42" s="61">
        <f t="shared" si="24"/>
        <v>0</v>
      </c>
      <c r="M42" s="61">
        <f t="shared" si="24"/>
        <v>0</v>
      </c>
      <c r="N42" s="21">
        <f t="shared" si="24"/>
        <v>0</v>
      </c>
      <c r="O42" s="239">
        <f t="shared" si="24"/>
        <v>0</v>
      </c>
      <c r="P42" s="21">
        <f t="shared" si="24"/>
        <v>0</v>
      </c>
      <c r="Q42" s="21">
        <f t="shared" si="24"/>
        <v>0</v>
      </c>
      <c r="R42" s="249">
        <f t="shared" si="24"/>
        <v>0</v>
      </c>
    </row>
    <row r="43" spans="1:19" outlineLevel="1" x14ac:dyDescent="0.5">
      <c r="B43" s="85"/>
      <c r="C43" s="2" t="s">
        <v>18</v>
      </c>
      <c r="D43" s="1"/>
      <c r="G43" s="52">
        <f t="shared" si="21"/>
        <v>0</v>
      </c>
      <c r="H43" s="21">
        <f t="shared" si="21"/>
        <v>0</v>
      </c>
      <c r="I43" s="21">
        <f t="shared" si="22"/>
        <v>0</v>
      </c>
      <c r="J43" s="239">
        <f t="shared" ref="J43" si="27">CHOOSE($L$4,J87,J131,J175)</f>
        <v>0</v>
      </c>
      <c r="K43" s="61">
        <f t="shared" si="24"/>
        <v>0</v>
      </c>
      <c r="L43" s="61">
        <f t="shared" si="24"/>
        <v>0</v>
      </c>
      <c r="M43" s="61">
        <f t="shared" si="24"/>
        <v>0</v>
      </c>
      <c r="N43" s="21">
        <f t="shared" si="24"/>
        <v>0</v>
      </c>
      <c r="O43" s="239">
        <f t="shared" si="24"/>
        <v>0</v>
      </c>
      <c r="P43" s="21">
        <f t="shared" si="24"/>
        <v>0</v>
      </c>
      <c r="Q43" s="21">
        <f t="shared" si="24"/>
        <v>0</v>
      </c>
      <c r="R43" s="249">
        <f t="shared" si="24"/>
        <v>0</v>
      </c>
    </row>
    <row r="44" spans="1:19" ht="7.1" customHeight="1" outlineLevel="1" x14ac:dyDescent="0.5">
      <c r="B44" s="85"/>
      <c r="C44" s="1"/>
      <c r="D44" s="1"/>
      <c r="G44" s="52"/>
      <c r="H44" s="21"/>
      <c r="I44" s="21"/>
      <c r="J44" s="239"/>
      <c r="K44" s="61"/>
      <c r="L44" s="61"/>
      <c r="M44" s="61"/>
      <c r="N44" s="21"/>
      <c r="O44" s="239"/>
      <c r="P44" s="21"/>
      <c r="Q44" s="21"/>
      <c r="R44" s="249"/>
    </row>
    <row r="45" spans="1:19" s="9" customFormat="1" outlineLevel="1" x14ac:dyDescent="0.5">
      <c r="A45" s="1"/>
      <c r="B45" s="86" t="s">
        <v>19</v>
      </c>
      <c r="E45" s="11"/>
      <c r="F45" s="11"/>
      <c r="G45" s="51"/>
      <c r="H45" s="22"/>
      <c r="I45" s="22"/>
      <c r="J45" s="240"/>
      <c r="K45" s="62"/>
      <c r="L45" s="62"/>
      <c r="M45" s="62"/>
      <c r="N45" s="22"/>
      <c r="O45" s="240"/>
      <c r="P45" s="22"/>
      <c r="Q45" s="22"/>
      <c r="R45" s="250"/>
      <c r="S45" s="1"/>
    </row>
    <row r="46" spans="1:19" outlineLevel="1" x14ac:dyDescent="0.5">
      <c r="B46" s="14" t="s">
        <v>19</v>
      </c>
      <c r="C46" s="1"/>
      <c r="D46" s="1"/>
      <c r="E46" s="2"/>
      <c r="F46" s="2"/>
      <c r="G46" s="52">
        <f>CHOOSE($L$4,G90,G134,G178)</f>
        <v>0</v>
      </c>
      <c r="H46" s="21">
        <f>CHOOSE($L$4,H90,H134,H178)</f>
        <v>0</v>
      </c>
      <c r="I46" s="21">
        <f>CHOOSE($L$4,I90,I134,I178)</f>
        <v>0</v>
      </c>
      <c r="J46" s="239">
        <f t="shared" ref="J46" si="28">CHOOSE($L$4,J90,J134,J178)</f>
        <v>0</v>
      </c>
      <c r="K46" s="61">
        <f t="shared" ref="K46:R46" si="29">CHOOSE($L$4,K90,K134,K178)</f>
        <v>0</v>
      </c>
      <c r="L46" s="61">
        <f t="shared" si="29"/>
        <v>0</v>
      </c>
      <c r="M46" s="61">
        <f t="shared" si="29"/>
        <v>0</v>
      </c>
      <c r="N46" s="21">
        <f t="shared" si="29"/>
        <v>0</v>
      </c>
      <c r="O46" s="239">
        <f t="shared" si="29"/>
        <v>0</v>
      </c>
      <c r="P46" s="21">
        <f t="shared" si="29"/>
        <v>0</v>
      </c>
      <c r="Q46" s="21">
        <f t="shared" si="29"/>
        <v>0</v>
      </c>
      <c r="R46" s="249">
        <f t="shared" si="29"/>
        <v>0</v>
      </c>
    </row>
    <row r="47" spans="1:19" ht="7.1" customHeight="1" outlineLevel="1" x14ac:dyDescent="0.5">
      <c r="B47" s="14"/>
      <c r="C47" s="1"/>
      <c r="D47" s="1"/>
      <c r="E47" s="2"/>
      <c r="F47" s="2"/>
      <c r="G47" s="52"/>
      <c r="H47" s="21"/>
      <c r="I47" s="21"/>
      <c r="J47" s="239"/>
      <c r="K47" s="61"/>
      <c r="L47" s="61"/>
      <c r="M47" s="61"/>
      <c r="N47" s="21"/>
      <c r="O47" s="239"/>
      <c r="P47" s="21"/>
      <c r="Q47" s="21"/>
      <c r="R47" s="249"/>
    </row>
    <row r="48" spans="1:19" s="9" customFormat="1" outlineLevel="1" x14ac:dyDescent="0.5">
      <c r="A48" s="1"/>
      <c r="B48" s="86" t="s">
        <v>25</v>
      </c>
      <c r="G48" s="51"/>
      <c r="H48" s="22"/>
      <c r="I48" s="22"/>
      <c r="J48" s="240"/>
      <c r="K48" s="62"/>
      <c r="L48" s="62"/>
      <c r="M48" s="62"/>
      <c r="N48" s="22"/>
      <c r="O48" s="240"/>
      <c r="P48" s="22"/>
      <c r="Q48" s="22"/>
      <c r="R48" s="250"/>
      <c r="S48" s="1"/>
    </row>
    <row r="49" spans="1:19" outlineLevel="1" x14ac:dyDescent="0.5">
      <c r="B49" s="14" t="s">
        <v>25</v>
      </c>
      <c r="C49" s="1"/>
      <c r="D49" s="1"/>
      <c r="G49" s="52">
        <f>CHOOSE($L$4,G93,G137,G181)</f>
        <v>0.5</v>
      </c>
      <c r="H49" s="21">
        <f>CHOOSE($L$4,H93,H137,H181)</f>
        <v>0</v>
      </c>
      <c r="I49" s="21">
        <f>CHOOSE($L$4,I93,I137,I181)</f>
        <v>0</v>
      </c>
      <c r="J49" s="239">
        <f t="shared" ref="J49" si="30">CHOOSE($L$4,J93,J137,J181)</f>
        <v>0</v>
      </c>
      <c r="K49" s="61">
        <f t="shared" ref="K49:R49" si="31">CHOOSE($L$4,K93,K137,K181)</f>
        <v>0</v>
      </c>
      <c r="L49" s="61">
        <f t="shared" si="31"/>
        <v>0</v>
      </c>
      <c r="M49" s="61">
        <f t="shared" si="31"/>
        <v>0</v>
      </c>
      <c r="N49" s="21">
        <f t="shared" si="31"/>
        <v>0</v>
      </c>
      <c r="O49" s="239">
        <f t="shared" si="31"/>
        <v>0</v>
      </c>
      <c r="P49" s="21">
        <f t="shared" si="31"/>
        <v>0</v>
      </c>
      <c r="Q49" s="21">
        <f t="shared" si="31"/>
        <v>1</v>
      </c>
      <c r="R49" s="249">
        <f t="shared" si="31"/>
        <v>0</v>
      </c>
    </row>
    <row r="50" spans="1:19" ht="7.1" customHeight="1" outlineLevel="1" x14ac:dyDescent="0.5">
      <c r="B50" s="14"/>
      <c r="C50" s="1"/>
      <c r="D50" s="1"/>
      <c r="G50" s="52"/>
      <c r="H50" s="21"/>
      <c r="I50" s="21"/>
      <c r="J50" s="239"/>
      <c r="K50" s="61"/>
      <c r="L50" s="61"/>
      <c r="M50" s="61"/>
      <c r="N50" s="21"/>
      <c r="O50" s="239"/>
      <c r="P50" s="21"/>
      <c r="Q50" s="21"/>
      <c r="R50" s="249"/>
    </row>
    <row r="51" spans="1:19" s="9" customFormat="1" outlineLevel="1" x14ac:dyDescent="0.5">
      <c r="A51" s="1"/>
      <c r="B51" s="86" t="s">
        <v>4</v>
      </c>
      <c r="G51" s="51"/>
      <c r="H51" s="22"/>
      <c r="I51" s="22"/>
      <c r="J51" s="240"/>
      <c r="K51" s="62"/>
      <c r="L51" s="62"/>
      <c r="M51" s="62"/>
      <c r="N51" s="22"/>
      <c r="O51" s="240"/>
      <c r="P51" s="22"/>
      <c r="Q51" s="22"/>
      <c r="R51" s="250"/>
      <c r="S51" s="1"/>
    </row>
    <row r="52" spans="1:19" outlineLevel="1" x14ac:dyDescent="0.5">
      <c r="B52" s="14" t="s">
        <v>20</v>
      </c>
      <c r="C52" s="1"/>
      <c r="D52" s="1"/>
      <c r="E52" s="2"/>
      <c r="F52" s="2"/>
      <c r="G52" s="52">
        <f t="shared" ref="G52:H54" si="32">CHOOSE($L$4,G96,G140,G184)</f>
        <v>0.5</v>
      </c>
      <c r="H52" s="21">
        <f t="shared" si="32"/>
        <v>1</v>
      </c>
      <c r="I52" s="21">
        <f t="shared" ref="I52:I54" si="33">CHOOSE($L$4,I96,I140,I184)</f>
        <v>0</v>
      </c>
      <c r="J52" s="239">
        <f t="shared" ref="J52" si="34">CHOOSE($L$4,J96,J140,J184)</f>
        <v>1</v>
      </c>
      <c r="K52" s="61">
        <f t="shared" ref="K52:R54" si="35">CHOOSE($L$4,K96,K140,K184)</f>
        <v>0</v>
      </c>
      <c r="L52" s="61">
        <f t="shared" si="35"/>
        <v>0</v>
      </c>
      <c r="M52" s="61">
        <f t="shared" si="35"/>
        <v>0</v>
      </c>
      <c r="N52" s="21">
        <f t="shared" si="35"/>
        <v>0</v>
      </c>
      <c r="O52" s="239">
        <f t="shared" si="35"/>
        <v>0</v>
      </c>
      <c r="P52" s="21">
        <f t="shared" si="35"/>
        <v>0</v>
      </c>
      <c r="Q52" s="21">
        <f t="shared" si="35"/>
        <v>0</v>
      </c>
      <c r="R52" s="249">
        <f t="shared" si="35"/>
        <v>0</v>
      </c>
    </row>
    <row r="53" spans="1:19" outlineLevel="1" x14ac:dyDescent="0.5">
      <c r="B53" s="14" t="s">
        <v>11</v>
      </c>
      <c r="C53" s="1"/>
      <c r="D53" s="1"/>
      <c r="E53" s="2"/>
      <c r="F53" s="2"/>
      <c r="G53" s="52">
        <f t="shared" si="32"/>
        <v>0.5</v>
      </c>
      <c r="H53" s="21">
        <f t="shared" si="32"/>
        <v>0</v>
      </c>
      <c r="I53" s="21">
        <f t="shared" si="33"/>
        <v>0</v>
      </c>
      <c r="J53" s="239">
        <f t="shared" ref="J53" si="36">CHOOSE($L$4,J97,J141,J185)</f>
        <v>0</v>
      </c>
      <c r="K53" s="61">
        <f t="shared" si="35"/>
        <v>1</v>
      </c>
      <c r="L53" s="61">
        <f t="shared" si="35"/>
        <v>1</v>
      </c>
      <c r="M53" s="61">
        <f t="shared" si="35"/>
        <v>1</v>
      </c>
      <c r="N53" s="21">
        <f t="shared" si="35"/>
        <v>0</v>
      </c>
      <c r="O53" s="239">
        <f t="shared" si="35"/>
        <v>0</v>
      </c>
      <c r="P53" s="21">
        <f t="shared" si="35"/>
        <v>0</v>
      </c>
      <c r="Q53" s="21">
        <f t="shared" si="35"/>
        <v>0</v>
      </c>
      <c r="R53" s="249">
        <f t="shared" si="35"/>
        <v>0</v>
      </c>
    </row>
    <row r="54" spans="1:19" ht="14.7" outlineLevel="1" thickBot="1" x14ac:dyDescent="0.55000000000000004">
      <c r="B54" s="38" t="s">
        <v>55</v>
      </c>
      <c r="C54" s="16"/>
      <c r="D54" s="16"/>
      <c r="E54" s="15"/>
      <c r="F54" s="15"/>
      <c r="G54" s="63">
        <f t="shared" si="32"/>
        <v>0</v>
      </c>
      <c r="H54" s="23">
        <f t="shared" si="32"/>
        <v>1</v>
      </c>
      <c r="I54" s="23">
        <f t="shared" si="33"/>
        <v>0</v>
      </c>
      <c r="J54" s="241">
        <f t="shared" ref="J54" si="37">CHOOSE($L$4,J98,J142,J186)</f>
        <v>0</v>
      </c>
      <c r="K54" s="23">
        <f t="shared" si="35"/>
        <v>0</v>
      </c>
      <c r="L54" s="23">
        <f t="shared" si="35"/>
        <v>0</v>
      </c>
      <c r="M54" s="23">
        <f t="shared" si="35"/>
        <v>0</v>
      </c>
      <c r="N54" s="23">
        <f t="shared" si="35"/>
        <v>0</v>
      </c>
      <c r="O54" s="241">
        <f t="shared" si="35"/>
        <v>0</v>
      </c>
      <c r="P54" s="23">
        <f t="shared" si="35"/>
        <v>0</v>
      </c>
      <c r="Q54" s="23">
        <f t="shared" si="35"/>
        <v>0</v>
      </c>
      <c r="R54" s="251">
        <f t="shared" si="35"/>
        <v>0</v>
      </c>
    </row>
    <row r="55" spans="1:19" outlineLevel="1" x14ac:dyDescent="0.5">
      <c r="G55" s="24"/>
      <c r="H55" s="24"/>
      <c r="I55" s="24"/>
      <c r="J55" s="24"/>
      <c r="K55" s="24"/>
      <c r="L55" s="24"/>
      <c r="M55" s="24"/>
      <c r="N55" s="24"/>
      <c r="O55" s="24"/>
      <c r="P55" s="24"/>
      <c r="Q55" s="24"/>
      <c r="R55" s="24"/>
    </row>
    <row r="56" spans="1:19" ht="14.7" thickBot="1" x14ac:dyDescent="0.55000000000000004">
      <c r="G56" s="24"/>
      <c r="H56" s="24"/>
      <c r="I56" s="24"/>
      <c r="J56" s="24"/>
      <c r="K56" s="24"/>
      <c r="L56" s="24"/>
      <c r="M56" s="24"/>
      <c r="N56" s="24"/>
      <c r="O56" s="24"/>
      <c r="P56" s="24"/>
      <c r="Q56" s="24"/>
      <c r="R56" s="24"/>
    </row>
    <row r="57" spans="1:19" ht="14.7" thickBot="1" x14ac:dyDescent="0.55000000000000004">
      <c r="B57" s="124" t="s">
        <v>28</v>
      </c>
      <c r="C57" s="125"/>
      <c r="D57" s="125"/>
      <c r="E57" s="126"/>
      <c r="F57" s="126"/>
      <c r="G57" s="127"/>
      <c r="H57" s="128"/>
      <c r="I57" s="128"/>
      <c r="J57" s="128"/>
      <c r="K57" s="127"/>
      <c r="L57" s="128"/>
      <c r="M57" s="128"/>
      <c r="N57" s="128"/>
      <c r="O57" s="237"/>
      <c r="P57" s="128"/>
      <c r="Q57" s="128"/>
      <c r="R57" s="247"/>
    </row>
    <row r="58" spans="1:19" s="9" customFormat="1" outlineLevel="1" x14ac:dyDescent="0.5">
      <c r="A58" s="1"/>
      <c r="B58" s="84" t="s">
        <v>21</v>
      </c>
      <c r="C58" s="77"/>
      <c r="D58" s="77"/>
      <c r="G58" s="50"/>
      <c r="H58" s="60"/>
      <c r="I58" s="60"/>
      <c r="J58" s="60"/>
      <c r="K58" s="50"/>
      <c r="L58" s="60"/>
      <c r="M58" s="60"/>
      <c r="N58" s="20"/>
      <c r="O58" s="238"/>
      <c r="P58" s="20"/>
      <c r="Q58" s="20"/>
      <c r="R58" s="248"/>
      <c r="S58" s="1"/>
    </row>
    <row r="59" spans="1:19" outlineLevel="1" x14ac:dyDescent="0.5">
      <c r="B59" s="14" t="s">
        <v>59</v>
      </c>
      <c r="C59" s="1"/>
      <c r="D59" s="1"/>
      <c r="G59" s="88"/>
      <c r="H59" s="89"/>
      <c r="I59" s="89"/>
      <c r="J59" s="89"/>
      <c r="K59" s="88"/>
      <c r="L59" s="89"/>
      <c r="M59" s="89"/>
      <c r="N59" s="25"/>
      <c r="O59" s="244"/>
      <c r="P59" s="25"/>
      <c r="Q59" s="25"/>
      <c r="R59" s="252"/>
    </row>
    <row r="60" spans="1:19" outlineLevel="1" x14ac:dyDescent="0.5">
      <c r="B60" s="14"/>
      <c r="C60" s="2" t="s">
        <v>52</v>
      </c>
      <c r="D60" s="1"/>
      <c r="G60" s="88">
        <v>1</v>
      </c>
      <c r="H60" s="89">
        <v>1</v>
      </c>
      <c r="I60" s="89">
        <v>0</v>
      </c>
      <c r="J60" s="89">
        <v>0</v>
      </c>
      <c r="K60" s="88">
        <v>1</v>
      </c>
      <c r="L60" s="89">
        <v>1</v>
      </c>
      <c r="M60" s="89">
        <v>1</v>
      </c>
      <c r="N60" s="89">
        <v>0</v>
      </c>
      <c r="O60" s="244">
        <v>1</v>
      </c>
      <c r="P60" s="88">
        <v>0</v>
      </c>
      <c r="Q60" s="89">
        <v>1</v>
      </c>
      <c r="R60" s="252">
        <v>0</v>
      </c>
    </row>
    <row r="61" spans="1:19" outlineLevel="1" x14ac:dyDescent="0.5">
      <c r="B61" s="85"/>
      <c r="C61" s="2" t="s">
        <v>4</v>
      </c>
      <c r="D61" s="1"/>
      <c r="G61" s="88">
        <v>1</v>
      </c>
      <c r="H61" s="89">
        <v>1</v>
      </c>
      <c r="I61" s="89">
        <v>0</v>
      </c>
      <c r="J61" s="89">
        <v>0</v>
      </c>
      <c r="K61" s="88">
        <v>1</v>
      </c>
      <c r="L61" s="89">
        <v>1</v>
      </c>
      <c r="M61" s="89">
        <v>1</v>
      </c>
      <c r="N61" s="89">
        <v>0</v>
      </c>
      <c r="O61" s="244">
        <v>1</v>
      </c>
      <c r="P61" s="88">
        <v>0</v>
      </c>
      <c r="Q61" s="89">
        <v>1</v>
      </c>
      <c r="R61" s="252">
        <v>0</v>
      </c>
    </row>
    <row r="62" spans="1:19" outlineLevel="1" x14ac:dyDescent="0.5">
      <c r="B62" s="14" t="s">
        <v>5</v>
      </c>
      <c r="C62" s="1"/>
      <c r="D62" s="1"/>
      <c r="E62" s="2"/>
      <c r="F62" s="2"/>
      <c r="G62" s="88">
        <v>1</v>
      </c>
      <c r="H62" s="89">
        <v>1</v>
      </c>
      <c r="I62" s="89">
        <v>0</v>
      </c>
      <c r="J62" s="89">
        <v>0</v>
      </c>
      <c r="K62" s="88">
        <v>1</v>
      </c>
      <c r="L62" s="89">
        <v>1</v>
      </c>
      <c r="M62" s="89">
        <v>1</v>
      </c>
      <c r="N62" s="89">
        <v>0</v>
      </c>
      <c r="O62" s="244">
        <v>1</v>
      </c>
      <c r="P62" s="88">
        <v>0</v>
      </c>
      <c r="Q62" s="89">
        <v>1</v>
      </c>
      <c r="R62" s="252">
        <v>0</v>
      </c>
    </row>
    <row r="63" spans="1:19" outlineLevel="1" x14ac:dyDescent="0.5">
      <c r="B63" s="14" t="s">
        <v>6</v>
      </c>
      <c r="C63" s="1"/>
      <c r="D63" s="1"/>
      <c r="G63" s="88">
        <v>1</v>
      </c>
      <c r="H63" s="89">
        <v>1</v>
      </c>
      <c r="I63" s="89">
        <v>0</v>
      </c>
      <c r="J63" s="89">
        <v>0</v>
      </c>
      <c r="K63" s="88">
        <v>1</v>
      </c>
      <c r="L63" s="89">
        <v>1</v>
      </c>
      <c r="M63" s="89">
        <v>1</v>
      </c>
      <c r="N63" s="89">
        <v>0</v>
      </c>
      <c r="O63" s="244">
        <v>1</v>
      </c>
      <c r="P63" s="88">
        <v>0</v>
      </c>
      <c r="Q63" s="89">
        <v>1</v>
      </c>
      <c r="R63" s="252">
        <v>0</v>
      </c>
    </row>
    <row r="64" spans="1:19" ht="7.1" customHeight="1" outlineLevel="1" x14ac:dyDescent="0.5">
      <c r="B64" s="85"/>
      <c r="C64" s="1"/>
      <c r="D64" s="1"/>
      <c r="G64" s="88"/>
      <c r="H64" s="89"/>
      <c r="I64" s="25"/>
      <c r="J64" s="25"/>
      <c r="K64" s="88"/>
      <c r="L64" s="89"/>
      <c r="M64" s="89"/>
      <c r="N64" s="25"/>
      <c r="O64" s="244"/>
      <c r="P64" s="88"/>
      <c r="Q64" s="25"/>
      <c r="R64" s="252"/>
    </row>
    <row r="65" spans="1:19" s="9" customFormat="1" outlineLevel="1" x14ac:dyDescent="0.5">
      <c r="A65" s="1"/>
      <c r="B65" s="86" t="s">
        <v>22</v>
      </c>
      <c r="G65" s="90"/>
      <c r="H65" s="91"/>
      <c r="I65" s="26"/>
      <c r="J65" s="26"/>
      <c r="K65" s="90"/>
      <c r="L65" s="91"/>
      <c r="M65" s="91"/>
      <c r="N65" s="26"/>
      <c r="O65" s="245"/>
      <c r="P65" s="90"/>
      <c r="Q65" s="26"/>
      <c r="R65" s="253"/>
      <c r="S65" s="1"/>
    </row>
    <row r="66" spans="1:19" outlineLevel="1" x14ac:dyDescent="0.5">
      <c r="B66" s="14" t="s">
        <v>53</v>
      </c>
      <c r="C66" s="1"/>
      <c r="D66" s="1"/>
      <c r="G66" s="88"/>
      <c r="H66" s="89"/>
      <c r="I66" s="25"/>
      <c r="J66" s="25"/>
      <c r="K66" s="88"/>
      <c r="L66" s="89"/>
      <c r="M66" s="89"/>
      <c r="N66" s="25"/>
      <c r="O66" s="244"/>
      <c r="P66" s="88"/>
      <c r="Q66" s="25"/>
      <c r="R66" s="252"/>
    </row>
    <row r="67" spans="1:19" outlineLevel="1" x14ac:dyDescent="0.5">
      <c r="B67" s="14"/>
      <c r="C67" s="2" t="s">
        <v>47</v>
      </c>
      <c r="D67" s="1"/>
      <c r="G67" s="88">
        <v>1</v>
      </c>
      <c r="H67" s="89">
        <v>1</v>
      </c>
      <c r="I67" s="25">
        <v>0</v>
      </c>
      <c r="J67" s="25">
        <v>0</v>
      </c>
      <c r="K67" s="88">
        <v>1</v>
      </c>
      <c r="L67" s="89">
        <v>1</v>
      </c>
      <c r="M67" s="89">
        <v>1</v>
      </c>
      <c r="N67" s="25">
        <v>0</v>
      </c>
      <c r="O67" s="244">
        <v>1</v>
      </c>
      <c r="P67" s="88">
        <v>0</v>
      </c>
      <c r="Q67" s="25">
        <v>1</v>
      </c>
      <c r="R67" s="252">
        <v>0</v>
      </c>
    </row>
    <row r="68" spans="1:19" outlineLevel="1" x14ac:dyDescent="0.5">
      <c r="B68" s="85"/>
      <c r="C68" s="2" t="s">
        <v>48</v>
      </c>
      <c r="D68" s="1"/>
      <c r="E68" s="2"/>
      <c r="F68" s="2"/>
      <c r="G68" s="88">
        <v>1</v>
      </c>
      <c r="H68" s="89">
        <v>1</v>
      </c>
      <c r="I68" s="25">
        <v>0</v>
      </c>
      <c r="J68" s="25">
        <v>0</v>
      </c>
      <c r="K68" s="88">
        <v>1</v>
      </c>
      <c r="L68" s="89">
        <v>1</v>
      </c>
      <c r="M68" s="89">
        <v>1</v>
      </c>
      <c r="N68" s="25">
        <v>0</v>
      </c>
      <c r="O68" s="244">
        <v>1</v>
      </c>
      <c r="P68" s="88">
        <v>0</v>
      </c>
      <c r="Q68" s="25">
        <v>1</v>
      </c>
      <c r="R68" s="252">
        <v>0</v>
      </c>
    </row>
    <row r="69" spans="1:19" outlineLevel="1" x14ac:dyDescent="0.5">
      <c r="B69" s="14" t="s">
        <v>46</v>
      </c>
      <c r="C69" s="2"/>
      <c r="D69" s="1"/>
      <c r="E69" s="2"/>
      <c r="F69" s="2"/>
      <c r="G69" s="88">
        <v>1</v>
      </c>
      <c r="H69" s="89">
        <v>1</v>
      </c>
      <c r="I69" s="25">
        <v>0</v>
      </c>
      <c r="J69" s="25">
        <v>0</v>
      </c>
      <c r="K69" s="88">
        <v>1</v>
      </c>
      <c r="L69" s="89">
        <v>1</v>
      </c>
      <c r="M69" s="89">
        <v>1</v>
      </c>
      <c r="N69" s="25">
        <v>0</v>
      </c>
      <c r="O69" s="244">
        <v>1</v>
      </c>
      <c r="P69" s="88">
        <v>0</v>
      </c>
      <c r="Q69" s="25">
        <v>1</v>
      </c>
      <c r="R69" s="252">
        <v>0</v>
      </c>
    </row>
    <row r="70" spans="1:19" outlineLevel="1" x14ac:dyDescent="0.5">
      <c r="B70" s="14" t="s">
        <v>8</v>
      </c>
      <c r="C70" s="1"/>
      <c r="D70" s="1"/>
      <c r="E70" s="2"/>
      <c r="F70" s="2"/>
      <c r="G70" s="88">
        <v>1</v>
      </c>
      <c r="H70" s="89">
        <v>1</v>
      </c>
      <c r="I70" s="25">
        <v>0</v>
      </c>
      <c r="J70" s="25">
        <v>0</v>
      </c>
      <c r="K70" s="88">
        <v>1</v>
      </c>
      <c r="L70" s="89">
        <v>1</v>
      </c>
      <c r="M70" s="89">
        <v>1</v>
      </c>
      <c r="N70" s="25">
        <v>0</v>
      </c>
      <c r="O70" s="244">
        <v>1</v>
      </c>
      <c r="P70" s="88">
        <v>0</v>
      </c>
      <c r="Q70" s="25">
        <v>1</v>
      </c>
      <c r="R70" s="252">
        <v>0</v>
      </c>
    </row>
    <row r="71" spans="1:19" ht="7.1" customHeight="1" outlineLevel="1" x14ac:dyDescent="0.5">
      <c r="B71" s="85"/>
      <c r="C71" s="1"/>
      <c r="D71" s="1"/>
      <c r="E71" s="2"/>
      <c r="F71" s="2"/>
      <c r="G71" s="88"/>
      <c r="H71" s="89"/>
      <c r="I71" s="25"/>
      <c r="J71" s="25"/>
      <c r="K71" s="88"/>
      <c r="L71" s="89"/>
      <c r="M71" s="89"/>
      <c r="N71" s="25"/>
      <c r="O71" s="244"/>
      <c r="P71" s="88"/>
      <c r="Q71" s="25"/>
      <c r="R71" s="252"/>
    </row>
    <row r="72" spans="1:19" s="9" customFormat="1" outlineLevel="1" x14ac:dyDescent="0.5">
      <c r="A72" s="1"/>
      <c r="B72" s="84" t="s">
        <v>23</v>
      </c>
      <c r="G72" s="90"/>
      <c r="H72" s="91"/>
      <c r="I72" s="26"/>
      <c r="J72" s="26"/>
      <c r="K72" s="90"/>
      <c r="L72" s="91"/>
      <c r="M72" s="91"/>
      <c r="N72" s="26"/>
      <c r="O72" s="245"/>
      <c r="P72" s="90"/>
      <c r="Q72" s="26"/>
      <c r="R72" s="253"/>
      <c r="S72" s="1"/>
    </row>
    <row r="73" spans="1:19" outlineLevel="1" x14ac:dyDescent="0.5">
      <c r="B73" s="14" t="s">
        <v>45</v>
      </c>
      <c r="C73" s="1"/>
      <c r="D73" s="1"/>
      <c r="E73" s="2"/>
      <c r="F73" s="2"/>
      <c r="G73" s="88">
        <v>1</v>
      </c>
      <c r="H73" s="89">
        <v>1</v>
      </c>
      <c r="I73" s="25">
        <v>0</v>
      </c>
      <c r="J73" s="25">
        <v>0</v>
      </c>
      <c r="K73" s="88">
        <v>1</v>
      </c>
      <c r="L73" s="89">
        <v>1</v>
      </c>
      <c r="M73" s="89">
        <v>1</v>
      </c>
      <c r="N73" s="25">
        <v>0</v>
      </c>
      <c r="O73" s="244">
        <v>1</v>
      </c>
      <c r="P73" s="88">
        <v>0</v>
      </c>
      <c r="Q73" s="25">
        <v>1</v>
      </c>
      <c r="R73" s="252">
        <v>0</v>
      </c>
    </row>
    <row r="74" spans="1:19" outlineLevel="1" x14ac:dyDescent="0.5">
      <c r="B74" s="14" t="s">
        <v>9</v>
      </c>
      <c r="C74" s="1"/>
      <c r="D74" s="1"/>
      <c r="E74" s="2"/>
      <c r="F74" s="2"/>
      <c r="G74" s="88">
        <v>1</v>
      </c>
      <c r="H74" s="89">
        <v>1</v>
      </c>
      <c r="I74" s="25">
        <v>0</v>
      </c>
      <c r="J74" s="25">
        <v>0</v>
      </c>
      <c r="K74" s="88">
        <v>1</v>
      </c>
      <c r="L74" s="89">
        <v>1</v>
      </c>
      <c r="M74" s="89">
        <v>1</v>
      </c>
      <c r="N74" s="25">
        <v>0</v>
      </c>
      <c r="O74" s="244">
        <v>1</v>
      </c>
      <c r="P74" s="88">
        <v>0</v>
      </c>
      <c r="Q74" s="25">
        <v>1</v>
      </c>
      <c r="R74" s="252">
        <v>0</v>
      </c>
    </row>
    <row r="75" spans="1:19" ht="7.1" customHeight="1" outlineLevel="1" x14ac:dyDescent="0.5">
      <c r="B75" s="85"/>
      <c r="C75" s="1"/>
      <c r="D75" s="1"/>
      <c r="G75" s="88"/>
      <c r="H75" s="89"/>
      <c r="I75" s="25"/>
      <c r="J75" s="25"/>
      <c r="K75" s="88"/>
      <c r="L75" s="89"/>
      <c r="M75" s="89"/>
      <c r="N75" s="25"/>
      <c r="O75" s="244"/>
      <c r="P75" s="88"/>
      <c r="Q75" s="25"/>
      <c r="R75" s="252"/>
    </row>
    <row r="76" spans="1:19" s="9" customFormat="1" outlineLevel="1" x14ac:dyDescent="0.5">
      <c r="A76" s="1"/>
      <c r="B76" s="84" t="s">
        <v>10</v>
      </c>
      <c r="G76" s="90"/>
      <c r="H76" s="91"/>
      <c r="I76" s="26"/>
      <c r="J76" s="26"/>
      <c r="K76" s="90"/>
      <c r="L76" s="91"/>
      <c r="M76" s="91"/>
      <c r="N76" s="26"/>
      <c r="O76" s="245"/>
      <c r="P76" s="90"/>
      <c r="Q76" s="26"/>
      <c r="R76" s="253"/>
      <c r="S76" s="1"/>
    </row>
    <row r="77" spans="1:19" outlineLevel="1" x14ac:dyDescent="0.5">
      <c r="B77" s="14" t="s">
        <v>49</v>
      </c>
      <c r="D77" s="1"/>
      <c r="G77" s="88">
        <v>1</v>
      </c>
      <c r="H77" s="89">
        <v>1</v>
      </c>
      <c r="I77" s="25">
        <v>0</v>
      </c>
      <c r="J77" s="25">
        <v>0</v>
      </c>
      <c r="K77" s="88">
        <v>1</v>
      </c>
      <c r="L77" s="89">
        <v>1</v>
      </c>
      <c r="M77" s="89">
        <v>1</v>
      </c>
      <c r="N77" s="25">
        <v>0</v>
      </c>
      <c r="O77" s="244">
        <v>1</v>
      </c>
      <c r="P77" s="88">
        <v>0</v>
      </c>
      <c r="Q77" s="25">
        <v>1</v>
      </c>
      <c r="R77" s="252">
        <v>0</v>
      </c>
    </row>
    <row r="78" spans="1:19" outlineLevel="1" x14ac:dyDescent="0.5">
      <c r="B78" s="14" t="s">
        <v>50</v>
      </c>
      <c r="D78" s="1"/>
      <c r="G78" s="88">
        <v>1</v>
      </c>
      <c r="H78" s="89">
        <v>1</v>
      </c>
      <c r="I78" s="25">
        <v>0</v>
      </c>
      <c r="J78" s="25">
        <v>0</v>
      </c>
      <c r="K78" s="88">
        <v>1</v>
      </c>
      <c r="L78" s="89">
        <v>1</v>
      </c>
      <c r="M78" s="89">
        <v>1</v>
      </c>
      <c r="N78" s="25">
        <v>0</v>
      </c>
      <c r="O78" s="244">
        <v>1</v>
      </c>
      <c r="P78" s="88">
        <v>0</v>
      </c>
      <c r="Q78" s="25">
        <v>1</v>
      </c>
      <c r="R78" s="252">
        <v>0</v>
      </c>
    </row>
    <row r="79" spans="1:19" ht="7.1" customHeight="1" outlineLevel="1" x14ac:dyDescent="0.5">
      <c r="B79" s="85"/>
      <c r="C79" s="1"/>
      <c r="D79" s="1"/>
      <c r="G79" s="88"/>
      <c r="H79" s="89"/>
      <c r="I79" s="25"/>
      <c r="J79" s="25"/>
      <c r="K79" s="88"/>
      <c r="L79" s="89"/>
      <c r="M79" s="89"/>
      <c r="N79" s="25"/>
      <c r="O79" s="244"/>
      <c r="P79" s="88"/>
      <c r="Q79" s="25"/>
      <c r="R79" s="252"/>
    </row>
    <row r="80" spans="1:19" s="9" customFormat="1" outlineLevel="1" x14ac:dyDescent="0.5">
      <c r="A80" s="1"/>
      <c r="B80" s="84" t="s">
        <v>24</v>
      </c>
      <c r="G80" s="90"/>
      <c r="H80" s="91"/>
      <c r="I80" s="26"/>
      <c r="J80" s="26"/>
      <c r="K80" s="90"/>
      <c r="L80" s="91"/>
      <c r="M80" s="91"/>
      <c r="N80" s="26"/>
      <c r="O80" s="245"/>
      <c r="P80" s="90"/>
      <c r="Q80" s="26"/>
      <c r="R80" s="253"/>
      <c r="S80" s="1"/>
    </row>
    <row r="81" spans="1:19" outlineLevel="1" x14ac:dyDescent="0.5">
      <c r="B81" s="14" t="s">
        <v>12</v>
      </c>
      <c r="C81" s="1"/>
      <c r="D81" s="1"/>
      <c r="G81" s="88"/>
      <c r="H81" s="89"/>
      <c r="I81" s="25"/>
      <c r="J81" s="25"/>
      <c r="K81" s="88"/>
      <c r="L81" s="89"/>
      <c r="M81" s="89"/>
      <c r="N81" s="25"/>
      <c r="O81" s="244"/>
      <c r="P81" s="88"/>
      <c r="Q81" s="25"/>
      <c r="R81" s="252"/>
    </row>
    <row r="82" spans="1:19" outlineLevel="1" x14ac:dyDescent="0.5">
      <c r="B82" s="85"/>
      <c r="C82" s="2" t="s">
        <v>13</v>
      </c>
      <c r="D82" s="2"/>
      <c r="E82" s="2"/>
      <c r="F82" s="2"/>
      <c r="G82" s="88">
        <v>1</v>
      </c>
      <c r="H82" s="89">
        <v>1</v>
      </c>
      <c r="I82" s="25">
        <v>0</v>
      </c>
      <c r="J82" s="25">
        <v>0</v>
      </c>
      <c r="K82" s="88">
        <v>1</v>
      </c>
      <c r="L82" s="89">
        <v>1</v>
      </c>
      <c r="M82" s="89">
        <v>1</v>
      </c>
      <c r="N82" s="25">
        <v>0</v>
      </c>
      <c r="O82" s="244">
        <v>1</v>
      </c>
      <c r="P82" s="88">
        <v>0</v>
      </c>
      <c r="Q82" s="25">
        <v>1</v>
      </c>
      <c r="R82" s="252">
        <v>0</v>
      </c>
    </row>
    <row r="83" spans="1:19" outlineLevel="1" x14ac:dyDescent="0.5">
      <c r="B83" s="13" t="s">
        <v>14</v>
      </c>
      <c r="C83" s="1"/>
      <c r="D83" s="1"/>
      <c r="G83" s="88"/>
      <c r="H83" s="89"/>
      <c r="I83" s="25"/>
      <c r="J83" s="25"/>
      <c r="K83" s="88"/>
      <c r="L83" s="89"/>
      <c r="M83" s="89"/>
      <c r="N83" s="25"/>
      <c r="O83" s="244"/>
      <c r="P83" s="88"/>
      <c r="Q83" s="25"/>
      <c r="R83" s="252"/>
    </row>
    <row r="84" spans="1:19" outlineLevel="1" x14ac:dyDescent="0.5">
      <c r="B84" s="13"/>
      <c r="C84" s="2" t="s">
        <v>15</v>
      </c>
      <c r="D84" s="1"/>
      <c r="G84" s="88">
        <v>1</v>
      </c>
      <c r="H84" s="89">
        <v>1</v>
      </c>
      <c r="I84" s="25">
        <v>0</v>
      </c>
      <c r="J84" s="25">
        <v>0</v>
      </c>
      <c r="K84" s="88">
        <v>1</v>
      </c>
      <c r="L84" s="89">
        <v>1</v>
      </c>
      <c r="M84" s="89">
        <v>1</v>
      </c>
      <c r="N84" s="25">
        <v>0</v>
      </c>
      <c r="O84" s="244">
        <v>1</v>
      </c>
      <c r="P84" s="88">
        <v>0</v>
      </c>
      <c r="Q84" s="25">
        <v>1</v>
      </c>
      <c r="R84" s="252">
        <v>0</v>
      </c>
    </row>
    <row r="85" spans="1:19" outlineLevel="1" x14ac:dyDescent="0.5">
      <c r="B85" s="13"/>
      <c r="C85" s="2" t="s">
        <v>16</v>
      </c>
      <c r="D85" s="1"/>
      <c r="G85" s="88">
        <v>1</v>
      </c>
      <c r="H85" s="89">
        <v>1</v>
      </c>
      <c r="I85" s="25">
        <v>0</v>
      </c>
      <c r="J85" s="25">
        <v>0</v>
      </c>
      <c r="K85" s="88">
        <v>1</v>
      </c>
      <c r="L85" s="89">
        <v>1</v>
      </c>
      <c r="M85" s="89">
        <v>1</v>
      </c>
      <c r="N85" s="25">
        <v>0</v>
      </c>
      <c r="O85" s="244">
        <v>1</v>
      </c>
      <c r="P85" s="88">
        <v>0</v>
      </c>
      <c r="Q85" s="25">
        <v>1</v>
      </c>
      <c r="R85" s="252">
        <v>0</v>
      </c>
    </row>
    <row r="86" spans="1:19" outlineLevel="1" x14ac:dyDescent="0.5">
      <c r="B86" s="13"/>
      <c r="C86" s="2" t="s">
        <v>17</v>
      </c>
      <c r="D86" s="1"/>
      <c r="G86" s="88">
        <v>1</v>
      </c>
      <c r="H86" s="89">
        <v>1</v>
      </c>
      <c r="I86" s="25">
        <v>0</v>
      </c>
      <c r="J86" s="25">
        <v>0</v>
      </c>
      <c r="K86" s="88">
        <v>1</v>
      </c>
      <c r="L86" s="89">
        <v>1</v>
      </c>
      <c r="M86" s="89">
        <v>1</v>
      </c>
      <c r="N86" s="25">
        <v>0</v>
      </c>
      <c r="O86" s="244">
        <v>1</v>
      </c>
      <c r="P86" s="88">
        <v>0</v>
      </c>
      <c r="Q86" s="25">
        <v>1</v>
      </c>
      <c r="R86" s="252">
        <v>0</v>
      </c>
    </row>
    <row r="87" spans="1:19" outlineLevel="1" x14ac:dyDescent="0.5">
      <c r="B87" s="85"/>
      <c r="C87" s="2" t="s">
        <v>18</v>
      </c>
      <c r="D87" s="1"/>
      <c r="G87" s="88">
        <v>1</v>
      </c>
      <c r="H87" s="89">
        <v>1</v>
      </c>
      <c r="I87" s="25">
        <v>0</v>
      </c>
      <c r="J87" s="25">
        <v>0</v>
      </c>
      <c r="K87" s="88">
        <v>1</v>
      </c>
      <c r="L87" s="89">
        <v>1</v>
      </c>
      <c r="M87" s="89">
        <v>1</v>
      </c>
      <c r="N87" s="25">
        <v>0</v>
      </c>
      <c r="O87" s="244">
        <v>1</v>
      </c>
      <c r="P87" s="88">
        <v>0</v>
      </c>
      <c r="Q87" s="25">
        <v>1</v>
      </c>
      <c r="R87" s="252">
        <v>0</v>
      </c>
    </row>
    <row r="88" spans="1:19" ht="7.1" customHeight="1" outlineLevel="1" x14ac:dyDescent="0.5">
      <c r="B88" s="85"/>
      <c r="C88" s="1"/>
      <c r="D88" s="1"/>
      <c r="G88" s="88"/>
      <c r="H88" s="89"/>
      <c r="I88" s="25"/>
      <c r="J88" s="25"/>
      <c r="K88" s="88"/>
      <c r="L88" s="89"/>
      <c r="M88" s="89"/>
      <c r="N88" s="25"/>
      <c r="O88" s="244"/>
      <c r="P88" s="88"/>
      <c r="Q88" s="25"/>
      <c r="R88" s="252"/>
    </row>
    <row r="89" spans="1:19" s="9" customFormat="1" outlineLevel="1" x14ac:dyDescent="0.5">
      <c r="A89" s="1"/>
      <c r="B89" s="86" t="s">
        <v>19</v>
      </c>
      <c r="E89" s="11"/>
      <c r="F89" s="11"/>
      <c r="G89" s="90"/>
      <c r="H89" s="91"/>
      <c r="I89" s="26"/>
      <c r="J89" s="26"/>
      <c r="K89" s="90"/>
      <c r="L89" s="91"/>
      <c r="M89" s="91"/>
      <c r="N89" s="26"/>
      <c r="O89" s="245"/>
      <c r="P89" s="90"/>
      <c r="Q89" s="26"/>
      <c r="R89" s="253"/>
      <c r="S89" s="1"/>
    </row>
    <row r="90" spans="1:19" outlineLevel="1" x14ac:dyDescent="0.5">
      <c r="B90" s="14" t="s">
        <v>19</v>
      </c>
      <c r="C90" s="1"/>
      <c r="D90" s="1"/>
      <c r="E90" s="2"/>
      <c r="F90" s="2"/>
      <c r="G90" s="88">
        <v>0</v>
      </c>
      <c r="H90" s="89">
        <v>0</v>
      </c>
      <c r="I90" s="25">
        <v>0</v>
      </c>
      <c r="J90" s="25">
        <v>0</v>
      </c>
      <c r="K90" s="88">
        <v>0</v>
      </c>
      <c r="L90" s="89">
        <v>0</v>
      </c>
      <c r="M90" s="89">
        <v>0</v>
      </c>
      <c r="N90" s="25">
        <v>0</v>
      </c>
      <c r="O90" s="244">
        <v>0</v>
      </c>
      <c r="P90" s="88">
        <v>0</v>
      </c>
      <c r="Q90" s="25">
        <v>0</v>
      </c>
      <c r="R90" s="252">
        <v>0</v>
      </c>
    </row>
    <row r="91" spans="1:19" ht="7.1" customHeight="1" outlineLevel="1" x14ac:dyDescent="0.5">
      <c r="B91" s="14"/>
      <c r="C91" s="1"/>
      <c r="D91" s="1"/>
      <c r="E91" s="2"/>
      <c r="F91" s="2"/>
      <c r="G91" s="88"/>
      <c r="H91" s="89"/>
      <c r="I91" s="25"/>
      <c r="J91" s="25"/>
      <c r="K91" s="88"/>
      <c r="L91" s="89"/>
      <c r="M91" s="89"/>
      <c r="N91" s="25"/>
      <c r="O91" s="244"/>
      <c r="P91" s="88"/>
      <c r="Q91" s="25"/>
      <c r="R91" s="252"/>
    </row>
    <row r="92" spans="1:19" s="9" customFormat="1" outlineLevel="1" x14ac:dyDescent="0.5">
      <c r="A92" s="1"/>
      <c r="B92" s="86" t="s">
        <v>25</v>
      </c>
      <c r="G92" s="90"/>
      <c r="H92" s="91"/>
      <c r="I92" s="26"/>
      <c r="J92" s="26"/>
      <c r="K92" s="90"/>
      <c r="L92" s="91"/>
      <c r="M92" s="91"/>
      <c r="N92" s="26"/>
      <c r="O92" s="245"/>
      <c r="P92" s="90"/>
      <c r="Q92" s="26"/>
      <c r="R92" s="253"/>
      <c r="S92" s="1"/>
    </row>
    <row r="93" spans="1:19" outlineLevel="1" x14ac:dyDescent="0.5">
      <c r="B93" s="14" t="s">
        <v>25</v>
      </c>
      <c r="C93" s="1"/>
      <c r="D93" s="1"/>
      <c r="G93" s="88">
        <v>1</v>
      </c>
      <c r="H93" s="89">
        <v>1</v>
      </c>
      <c r="I93" s="25">
        <v>0</v>
      </c>
      <c r="J93" s="25">
        <v>0</v>
      </c>
      <c r="K93" s="88">
        <v>1</v>
      </c>
      <c r="L93" s="89">
        <v>1</v>
      </c>
      <c r="M93" s="89">
        <v>1</v>
      </c>
      <c r="N93" s="25">
        <v>0</v>
      </c>
      <c r="O93" s="244">
        <v>1</v>
      </c>
      <c r="P93" s="88">
        <v>0</v>
      </c>
      <c r="Q93" s="25">
        <v>1</v>
      </c>
      <c r="R93" s="252">
        <v>0</v>
      </c>
    </row>
    <row r="94" spans="1:19" ht="7.1" customHeight="1" outlineLevel="1" x14ac:dyDescent="0.5">
      <c r="B94" s="14"/>
      <c r="C94" s="1"/>
      <c r="D94" s="1"/>
      <c r="G94" s="88"/>
      <c r="H94" s="89"/>
      <c r="I94" s="25"/>
      <c r="J94" s="25"/>
      <c r="K94" s="88"/>
      <c r="L94" s="89"/>
      <c r="M94" s="89"/>
      <c r="N94" s="25"/>
      <c r="O94" s="244"/>
      <c r="P94" s="88"/>
      <c r="Q94" s="25"/>
      <c r="R94" s="252"/>
    </row>
    <row r="95" spans="1:19" s="9" customFormat="1" outlineLevel="1" x14ac:dyDescent="0.5">
      <c r="A95" s="1"/>
      <c r="B95" s="86" t="s">
        <v>4</v>
      </c>
      <c r="G95" s="90"/>
      <c r="H95" s="91"/>
      <c r="I95" s="26"/>
      <c r="J95" s="26"/>
      <c r="K95" s="90"/>
      <c r="L95" s="91"/>
      <c r="M95" s="91"/>
      <c r="N95" s="26"/>
      <c r="O95" s="245"/>
      <c r="P95" s="90"/>
      <c r="Q95" s="26"/>
      <c r="R95" s="253"/>
      <c r="S95" s="1"/>
    </row>
    <row r="96" spans="1:19" outlineLevel="1" x14ac:dyDescent="0.5">
      <c r="B96" s="14" t="s">
        <v>20</v>
      </c>
      <c r="C96" s="1"/>
      <c r="D96" s="1"/>
      <c r="E96" s="2"/>
      <c r="F96" s="2"/>
      <c r="G96" s="88">
        <v>1</v>
      </c>
      <c r="H96" s="89">
        <v>1</v>
      </c>
      <c r="I96" s="25">
        <v>0</v>
      </c>
      <c r="J96" s="25">
        <v>0</v>
      </c>
      <c r="K96" s="88">
        <v>1</v>
      </c>
      <c r="L96" s="89">
        <v>1</v>
      </c>
      <c r="M96" s="89">
        <v>1</v>
      </c>
      <c r="N96" s="25">
        <v>0</v>
      </c>
      <c r="O96" s="244">
        <v>1</v>
      </c>
      <c r="P96" s="88">
        <v>0</v>
      </c>
      <c r="Q96" s="25">
        <v>1</v>
      </c>
      <c r="R96" s="252">
        <v>0</v>
      </c>
    </row>
    <row r="97" spans="1:19" outlineLevel="1" x14ac:dyDescent="0.5">
      <c r="B97" s="14" t="s">
        <v>11</v>
      </c>
      <c r="C97" s="1"/>
      <c r="D97" s="1"/>
      <c r="E97" s="2"/>
      <c r="F97" s="2"/>
      <c r="G97" s="88">
        <v>1</v>
      </c>
      <c r="H97" s="89">
        <v>1</v>
      </c>
      <c r="I97" s="25">
        <v>0</v>
      </c>
      <c r="J97" s="25">
        <v>0</v>
      </c>
      <c r="K97" s="88">
        <v>1</v>
      </c>
      <c r="L97" s="89">
        <v>1</v>
      </c>
      <c r="M97" s="89">
        <v>1</v>
      </c>
      <c r="N97" s="25">
        <v>0</v>
      </c>
      <c r="O97" s="244">
        <v>1</v>
      </c>
      <c r="P97" s="88">
        <v>0</v>
      </c>
      <c r="Q97" s="25">
        <v>1</v>
      </c>
      <c r="R97" s="252">
        <v>0</v>
      </c>
    </row>
    <row r="98" spans="1:19" ht="14.7" outlineLevel="1" thickBot="1" x14ac:dyDescent="0.55000000000000004">
      <c r="B98" s="38" t="s">
        <v>55</v>
      </c>
      <c r="C98" s="16"/>
      <c r="D98" s="16"/>
      <c r="E98" s="15"/>
      <c r="F98" s="15"/>
      <c r="G98" s="92">
        <v>1</v>
      </c>
      <c r="H98" s="27">
        <v>1</v>
      </c>
      <c r="I98" s="27">
        <v>0</v>
      </c>
      <c r="J98" s="27">
        <v>0</v>
      </c>
      <c r="K98" s="92">
        <v>1</v>
      </c>
      <c r="L98" s="27">
        <v>1</v>
      </c>
      <c r="M98" s="27">
        <v>1</v>
      </c>
      <c r="N98" s="27">
        <v>0</v>
      </c>
      <c r="O98" s="246">
        <v>1</v>
      </c>
      <c r="P98" s="92">
        <v>0</v>
      </c>
      <c r="Q98" s="27">
        <v>1</v>
      </c>
      <c r="R98" s="254">
        <v>0</v>
      </c>
    </row>
    <row r="99" spans="1:19" outlineLevel="1" x14ac:dyDescent="0.5"/>
    <row r="100" spans="1:19" ht="14.7" thickBot="1" x14ac:dyDescent="0.55000000000000004"/>
    <row r="101" spans="1:19" ht="14.7" thickBot="1" x14ac:dyDescent="0.55000000000000004">
      <c r="B101" s="124" t="s">
        <v>184</v>
      </c>
      <c r="C101" s="125"/>
      <c r="D101" s="125"/>
      <c r="E101" s="126"/>
      <c r="F101" s="126"/>
      <c r="G101" s="127"/>
      <c r="H101" s="237"/>
      <c r="I101" s="128"/>
      <c r="J101" s="128"/>
      <c r="K101" s="128"/>
      <c r="L101" s="128"/>
      <c r="M101" s="128"/>
      <c r="N101" s="128"/>
      <c r="O101" s="237"/>
      <c r="P101" s="128"/>
      <c r="Q101" s="128"/>
      <c r="R101" s="247"/>
    </row>
    <row r="102" spans="1:19" s="9" customFormat="1" outlineLevel="1" x14ac:dyDescent="0.5">
      <c r="A102" s="1"/>
      <c r="B102" s="84" t="s">
        <v>21</v>
      </c>
      <c r="C102" s="77"/>
      <c r="D102" s="77"/>
      <c r="G102" s="50"/>
      <c r="H102" s="60"/>
      <c r="I102" s="60"/>
      <c r="J102" s="238"/>
      <c r="K102" s="60"/>
      <c r="L102" s="60"/>
      <c r="M102" s="60"/>
      <c r="N102" s="20"/>
      <c r="O102" s="238"/>
      <c r="P102" s="20"/>
      <c r="Q102" s="20"/>
      <c r="R102" s="248"/>
      <c r="S102" s="1"/>
    </row>
    <row r="103" spans="1:19" outlineLevel="1" x14ac:dyDescent="0.5">
      <c r="B103" s="14" t="s">
        <v>59</v>
      </c>
      <c r="C103" s="1"/>
      <c r="D103" s="1"/>
      <c r="G103" s="52"/>
      <c r="H103" s="61"/>
      <c r="I103" s="61"/>
      <c r="J103" s="239"/>
      <c r="K103" s="61"/>
      <c r="L103" s="61"/>
      <c r="M103" s="61"/>
      <c r="N103" s="21"/>
      <c r="O103" s="239"/>
      <c r="P103" s="21"/>
      <c r="Q103" s="21"/>
      <c r="R103" s="249"/>
    </row>
    <row r="104" spans="1:19" outlineLevel="1" x14ac:dyDescent="0.5">
      <c r="B104" s="14"/>
      <c r="C104" s="2" t="s">
        <v>52</v>
      </c>
      <c r="D104" s="1"/>
      <c r="G104" s="52">
        <v>1</v>
      </c>
      <c r="H104" s="61">
        <v>1</v>
      </c>
      <c r="I104" s="21">
        <v>0</v>
      </c>
      <c r="J104" s="239">
        <v>0</v>
      </c>
      <c r="K104" s="61">
        <v>0</v>
      </c>
      <c r="L104" s="61">
        <v>0</v>
      </c>
      <c r="M104" s="61">
        <v>0</v>
      </c>
      <c r="N104" s="21">
        <v>0</v>
      </c>
      <c r="O104" s="239">
        <v>0</v>
      </c>
      <c r="P104" s="21">
        <v>0</v>
      </c>
      <c r="Q104" s="21">
        <v>0</v>
      </c>
      <c r="R104" s="249">
        <v>0</v>
      </c>
    </row>
    <row r="105" spans="1:19" outlineLevel="1" x14ac:dyDescent="0.5">
      <c r="B105" s="85"/>
      <c r="C105" s="2" t="s">
        <v>58</v>
      </c>
      <c r="D105" s="1"/>
      <c r="G105" s="52">
        <v>0.5</v>
      </c>
      <c r="H105" s="61">
        <v>0</v>
      </c>
      <c r="I105" s="21">
        <v>0</v>
      </c>
      <c r="J105" s="239">
        <v>0</v>
      </c>
      <c r="K105" s="61">
        <v>0</v>
      </c>
      <c r="L105" s="61">
        <v>0</v>
      </c>
      <c r="M105" s="61">
        <v>0</v>
      </c>
      <c r="N105" s="21">
        <v>0</v>
      </c>
      <c r="O105" s="239">
        <v>0</v>
      </c>
      <c r="P105" s="21">
        <v>0</v>
      </c>
      <c r="Q105" s="21">
        <v>0</v>
      </c>
      <c r="R105" s="249">
        <v>0</v>
      </c>
    </row>
    <row r="106" spans="1:19" outlineLevel="1" x14ac:dyDescent="0.5">
      <c r="B106" s="14" t="s">
        <v>5</v>
      </c>
      <c r="C106" s="1"/>
      <c r="D106" s="1"/>
      <c r="E106" s="2"/>
      <c r="F106" s="2"/>
      <c r="G106" s="52">
        <v>0.5</v>
      </c>
      <c r="H106" s="61">
        <v>1</v>
      </c>
      <c r="I106" s="21">
        <v>1</v>
      </c>
      <c r="J106" s="239">
        <v>1</v>
      </c>
      <c r="K106" s="61">
        <v>1</v>
      </c>
      <c r="L106" s="61">
        <v>1</v>
      </c>
      <c r="M106" s="61">
        <v>1</v>
      </c>
      <c r="N106" s="21">
        <v>0</v>
      </c>
      <c r="O106" s="239">
        <v>0</v>
      </c>
      <c r="P106" s="21">
        <v>0</v>
      </c>
      <c r="Q106" s="21">
        <v>0</v>
      </c>
      <c r="R106" s="249">
        <v>0</v>
      </c>
    </row>
    <row r="107" spans="1:19" outlineLevel="1" x14ac:dyDescent="0.5">
      <c r="B107" s="14" t="s">
        <v>6</v>
      </c>
      <c r="C107" s="1"/>
      <c r="D107" s="1"/>
      <c r="G107" s="52">
        <v>0.5</v>
      </c>
      <c r="H107" s="61">
        <v>0</v>
      </c>
      <c r="I107" s="21">
        <v>1</v>
      </c>
      <c r="J107" s="239">
        <v>1</v>
      </c>
      <c r="K107" s="61">
        <v>1</v>
      </c>
      <c r="L107" s="61">
        <v>1</v>
      </c>
      <c r="M107" s="61">
        <v>1</v>
      </c>
      <c r="N107" s="21">
        <v>0</v>
      </c>
      <c r="O107" s="239">
        <v>0</v>
      </c>
      <c r="P107" s="21">
        <v>0</v>
      </c>
      <c r="Q107" s="21">
        <v>1</v>
      </c>
      <c r="R107" s="249">
        <v>0</v>
      </c>
    </row>
    <row r="108" spans="1:19" ht="7.1" customHeight="1" outlineLevel="1" x14ac:dyDescent="0.5">
      <c r="B108" s="85"/>
      <c r="C108" s="1"/>
      <c r="D108" s="1"/>
      <c r="G108" s="52"/>
      <c r="H108" s="61"/>
      <c r="I108" s="21"/>
      <c r="J108" s="239"/>
      <c r="K108" s="61"/>
      <c r="L108" s="61"/>
      <c r="M108" s="61"/>
      <c r="N108" s="21"/>
      <c r="O108" s="239"/>
      <c r="P108" s="21"/>
      <c r="Q108" s="21"/>
      <c r="R108" s="249"/>
    </row>
    <row r="109" spans="1:19" s="9" customFormat="1" outlineLevel="1" x14ac:dyDescent="0.5">
      <c r="A109" s="1"/>
      <c r="B109" s="86" t="s">
        <v>22</v>
      </c>
      <c r="G109" s="51"/>
      <c r="H109" s="62"/>
      <c r="I109" s="22"/>
      <c r="J109" s="240"/>
      <c r="K109" s="62"/>
      <c r="L109" s="62"/>
      <c r="M109" s="62"/>
      <c r="N109" s="22"/>
      <c r="O109" s="240"/>
      <c r="P109" s="22"/>
      <c r="Q109" s="22"/>
      <c r="R109" s="250"/>
      <c r="S109" s="1"/>
    </row>
    <row r="110" spans="1:19" outlineLevel="1" x14ac:dyDescent="0.5">
      <c r="B110" s="14" t="s">
        <v>53</v>
      </c>
      <c r="C110" s="1"/>
      <c r="D110" s="1"/>
      <c r="G110" s="52"/>
      <c r="H110" s="61"/>
      <c r="I110" s="21"/>
      <c r="J110" s="239"/>
      <c r="K110" s="61"/>
      <c r="L110" s="61"/>
      <c r="M110" s="61"/>
      <c r="N110" s="21"/>
      <c r="O110" s="239"/>
      <c r="P110" s="21"/>
      <c r="Q110" s="21"/>
      <c r="R110" s="249"/>
    </row>
    <row r="111" spans="1:19" outlineLevel="1" x14ac:dyDescent="0.5">
      <c r="B111" s="14"/>
      <c r="C111" s="2" t="s">
        <v>47</v>
      </c>
      <c r="D111" s="1"/>
      <c r="G111" s="52">
        <v>0</v>
      </c>
      <c r="H111" s="61">
        <v>0</v>
      </c>
      <c r="I111" s="21">
        <v>0</v>
      </c>
      <c r="J111" s="239">
        <v>0</v>
      </c>
      <c r="K111" s="61">
        <v>0</v>
      </c>
      <c r="L111" s="61">
        <v>0</v>
      </c>
      <c r="M111" s="61">
        <v>1</v>
      </c>
      <c r="N111" s="21">
        <v>0</v>
      </c>
      <c r="O111" s="239">
        <v>0</v>
      </c>
      <c r="P111" s="21">
        <v>0</v>
      </c>
      <c r="Q111" s="21">
        <v>0</v>
      </c>
      <c r="R111" s="249">
        <v>0</v>
      </c>
    </row>
    <row r="112" spans="1:19" outlineLevel="1" x14ac:dyDescent="0.5">
      <c r="B112" s="85"/>
      <c r="C112" s="2" t="s">
        <v>48</v>
      </c>
      <c r="D112" s="1"/>
      <c r="E112" s="2"/>
      <c r="F112" s="2"/>
      <c r="G112" s="52">
        <v>0</v>
      </c>
      <c r="H112" s="61">
        <v>0</v>
      </c>
      <c r="I112" s="21">
        <v>0</v>
      </c>
      <c r="J112" s="239">
        <v>0</v>
      </c>
      <c r="K112" s="61">
        <v>1</v>
      </c>
      <c r="L112" s="61">
        <v>0</v>
      </c>
      <c r="M112" s="61">
        <v>1</v>
      </c>
      <c r="N112" s="21">
        <v>0</v>
      </c>
      <c r="O112" s="239">
        <v>0</v>
      </c>
      <c r="P112" s="21">
        <v>0</v>
      </c>
      <c r="Q112" s="21">
        <v>0</v>
      </c>
      <c r="R112" s="249">
        <v>0</v>
      </c>
    </row>
    <row r="113" spans="1:19" outlineLevel="1" x14ac:dyDescent="0.5">
      <c r="B113" s="14" t="s">
        <v>46</v>
      </c>
      <c r="C113" s="2"/>
      <c r="D113" s="1"/>
      <c r="E113" s="2"/>
      <c r="F113" s="2"/>
      <c r="G113" s="52">
        <v>0</v>
      </c>
      <c r="H113" s="61">
        <v>0</v>
      </c>
      <c r="I113" s="21">
        <v>0</v>
      </c>
      <c r="J113" s="239">
        <v>0</v>
      </c>
      <c r="K113" s="61">
        <v>1</v>
      </c>
      <c r="L113" s="61">
        <v>0</v>
      </c>
      <c r="M113" s="61">
        <v>1</v>
      </c>
      <c r="N113" s="21">
        <v>0</v>
      </c>
      <c r="O113" s="239">
        <v>0</v>
      </c>
      <c r="P113" s="21">
        <v>0</v>
      </c>
      <c r="Q113" s="21">
        <v>0</v>
      </c>
      <c r="R113" s="249">
        <v>0</v>
      </c>
    </row>
    <row r="114" spans="1:19" outlineLevel="1" x14ac:dyDescent="0.5">
      <c r="B114" s="14" t="s">
        <v>8</v>
      </c>
      <c r="C114" s="1"/>
      <c r="D114" s="1"/>
      <c r="E114" s="2"/>
      <c r="F114" s="2"/>
      <c r="G114" s="52">
        <v>0</v>
      </c>
      <c r="H114" s="61">
        <v>0</v>
      </c>
      <c r="I114" s="21">
        <v>1</v>
      </c>
      <c r="J114" s="239">
        <v>0</v>
      </c>
      <c r="K114" s="61">
        <v>1</v>
      </c>
      <c r="L114" s="61">
        <v>1</v>
      </c>
      <c r="M114" s="61">
        <v>1</v>
      </c>
      <c r="N114" s="21">
        <v>0</v>
      </c>
      <c r="O114" s="239">
        <v>0</v>
      </c>
      <c r="P114" s="21">
        <v>0</v>
      </c>
      <c r="Q114" s="21">
        <v>0</v>
      </c>
      <c r="R114" s="249">
        <v>0</v>
      </c>
    </row>
    <row r="115" spans="1:19" ht="7.1" customHeight="1" outlineLevel="1" x14ac:dyDescent="0.5">
      <c r="B115" s="85"/>
      <c r="C115" s="1"/>
      <c r="D115" s="1"/>
      <c r="E115" s="2"/>
      <c r="F115" s="2"/>
      <c r="G115" s="52"/>
      <c r="H115" s="61"/>
      <c r="I115" s="21"/>
      <c r="J115" s="239"/>
      <c r="K115" s="61"/>
      <c r="L115" s="61"/>
      <c r="M115" s="61"/>
      <c r="N115" s="21"/>
      <c r="O115" s="239"/>
      <c r="P115" s="21"/>
      <c r="Q115" s="21"/>
      <c r="R115" s="249"/>
    </row>
    <row r="116" spans="1:19" s="9" customFormat="1" outlineLevel="1" x14ac:dyDescent="0.5">
      <c r="A116" s="1"/>
      <c r="B116" s="84" t="s">
        <v>23</v>
      </c>
      <c r="G116" s="51"/>
      <c r="H116" s="62"/>
      <c r="I116" s="22"/>
      <c r="J116" s="240"/>
      <c r="K116" s="62"/>
      <c r="L116" s="62"/>
      <c r="M116" s="62"/>
      <c r="N116" s="22"/>
      <c r="O116" s="240"/>
      <c r="P116" s="22"/>
      <c r="Q116" s="22"/>
      <c r="R116" s="250"/>
      <c r="S116" s="1"/>
    </row>
    <row r="117" spans="1:19" outlineLevel="1" x14ac:dyDescent="0.5">
      <c r="B117" s="14" t="s">
        <v>54</v>
      </c>
      <c r="C117" s="1"/>
      <c r="D117" s="1"/>
      <c r="E117" s="2"/>
      <c r="F117" s="2"/>
      <c r="G117" s="52">
        <v>0</v>
      </c>
      <c r="H117" s="61">
        <v>1</v>
      </c>
      <c r="I117" s="21">
        <v>0</v>
      </c>
      <c r="J117" s="239">
        <v>0</v>
      </c>
      <c r="K117" s="61">
        <v>0</v>
      </c>
      <c r="L117" s="61">
        <v>0</v>
      </c>
      <c r="M117" s="61">
        <v>0</v>
      </c>
      <c r="N117" s="21">
        <v>0</v>
      </c>
      <c r="O117" s="239">
        <v>0</v>
      </c>
      <c r="P117" s="21">
        <v>0</v>
      </c>
      <c r="Q117" s="21">
        <v>0</v>
      </c>
      <c r="R117" s="249">
        <v>0</v>
      </c>
    </row>
    <row r="118" spans="1:19" outlineLevel="1" x14ac:dyDescent="0.5">
      <c r="B118" s="14" t="s">
        <v>9</v>
      </c>
      <c r="C118" s="1"/>
      <c r="D118" s="1"/>
      <c r="E118" s="2"/>
      <c r="F118" s="2"/>
      <c r="G118" s="52">
        <v>0.5</v>
      </c>
      <c r="H118" s="61">
        <v>0</v>
      </c>
      <c r="I118" s="21">
        <v>0</v>
      </c>
      <c r="J118" s="239">
        <v>0</v>
      </c>
      <c r="K118" s="61">
        <v>0</v>
      </c>
      <c r="L118" s="61">
        <v>0</v>
      </c>
      <c r="M118" s="61">
        <v>0</v>
      </c>
      <c r="N118" s="21">
        <v>0</v>
      </c>
      <c r="O118" s="239">
        <v>0</v>
      </c>
      <c r="P118" s="21">
        <v>0</v>
      </c>
      <c r="Q118" s="21">
        <v>0</v>
      </c>
      <c r="R118" s="249">
        <v>0</v>
      </c>
    </row>
    <row r="119" spans="1:19" ht="7.1" customHeight="1" outlineLevel="1" x14ac:dyDescent="0.5">
      <c r="B119" s="85"/>
      <c r="C119" s="1"/>
      <c r="D119" s="1"/>
      <c r="G119" s="52"/>
      <c r="H119" s="61"/>
      <c r="I119" s="21"/>
      <c r="J119" s="239"/>
      <c r="K119" s="61"/>
      <c r="L119" s="61"/>
      <c r="M119" s="61"/>
      <c r="N119" s="21"/>
      <c r="O119" s="239"/>
      <c r="P119" s="21"/>
      <c r="Q119" s="21"/>
      <c r="R119" s="249"/>
    </row>
    <row r="120" spans="1:19" s="9" customFormat="1" outlineLevel="1" x14ac:dyDescent="0.5">
      <c r="A120" s="1"/>
      <c r="B120" s="84" t="s">
        <v>10</v>
      </c>
      <c r="G120" s="51"/>
      <c r="H120" s="62"/>
      <c r="I120" s="22"/>
      <c r="J120" s="240"/>
      <c r="K120" s="62"/>
      <c r="L120" s="62"/>
      <c r="M120" s="62"/>
      <c r="N120" s="22"/>
      <c r="O120" s="240"/>
      <c r="P120" s="22"/>
      <c r="Q120" s="22"/>
      <c r="R120" s="250"/>
      <c r="S120" s="1"/>
    </row>
    <row r="121" spans="1:19" outlineLevel="1" x14ac:dyDescent="0.5">
      <c r="B121" s="14" t="s">
        <v>49</v>
      </c>
      <c r="D121" s="1"/>
      <c r="G121" s="52">
        <v>0.5</v>
      </c>
      <c r="H121" s="61">
        <v>0</v>
      </c>
      <c r="I121" s="21">
        <v>0</v>
      </c>
      <c r="J121" s="239">
        <v>0</v>
      </c>
      <c r="K121" s="61">
        <v>0</v>
      </c>
      <c r="L121" s="61">
        <v>0</v>
      </c>
      <c r="M121" s="61">
        <v>0</v>
      </c>
      <c r="N121" s="21">
        <v>0</v>
      </c>
      <c r="O121" s="239">
        <v>0</v>
      </c>
      <c r="P121" s="21">
        <v>0</v>
      </c>
      <c r="Q121" s="21">
        <v>0</v>
      </c>
      <c r="R121" s="249">
        <v>0</v>
      </c>
    </row>
    <row r="122" spans="1:19" outlineLevel="1" x14ac:dyDescent="0.5">
      <c r="B122" s="14" t="s">
        <v>50</v>
      </c>
      <c r="D122" s="1"/>
      <c r="G122" s="52">
        <v>0.5</v>
      </c>
      <c r="H122" s="61">
        <v>0</v>
      </c>
      <c r="I122" s="21">
        <v>0</v>
      </c>
      <c r="J122" s="239">
        <v>0</v>
      </c>
      <c r="K122" s="61">
        <v>1</v>
      </c>
      <c r="L122" s="61">
        <v>1</v>
      </c>
      <c r="M122" s="61">
        <v>1</v>
      </c>
      <c r="N122" s="21">
        <v>0</v>
      </c>
      <c r="O122" s="239">
        <v>0</v>
      </c>
      <c r="P122" s="21">
        <v>0</v>
      </c>
      <c r="Q122" s="21">
        <v>0</v>
      </c>
      <c r="R122" s="249">
        <v>0</v>
      </c>
    </row>
    <row r="123" spans="1:19" ht="7.1" customHeight="1" outlineLevel="1" x14ac:dyDescent="0.5">
      <c r="B123" s="85"/>
      <c r="C123" s="1"/>
      <c r="D123" s="1"/>
      <c r="G123" s="52"/>
      <c r="H123" s="61"/>
      <c r="I123" s="21"/>
      <c r="J123" s="239"/>
      <c r="K123" s="61"/>
      <c r="L123" s="61"/>
      <c r="M123" s="61"/>
      <c r="N123" s="21"/>
      <c r="O123" s="239"/>
      <c r="P123" s="21"/>
      <c r="Q123" s="21"/>
      <c r="R123" s="249"/>
    </row>
    <row r="124" spans="1:19" s="9" customFormat="1" outlineLevel="1" x14ac:dyDescent="0.5">
      <c r="A124" s="1"/>
      <c r="B124" s="84" t="s">
        <v>24</v>
      </c>
      <c r="G124" s="51"/>
      <c r="H124" s="62"/>
      <c r="I124" s="22"/>
      <c r="J124" s="240"/>
      <c r="K124" s="62"/>
      <c r="L124" s="62"/>
      <c r="M124" s="62"/>
      <c r="N124" s="22"/>
      <c r="O124" s="240"/>
      <c r="P124" s="22"/>
      <c r="Q124" s="22"/>
      <c r="R124" s="250"/>
      <c r="S124" s="1"/>
    </row>
    <row r="125" spans="1:19" outlineLevel="1" x14ac:dyDescent="0.5">
      <c r="B125" s="14" t="s">
        <v>12</v>
      </c>
      <c r="C125" s="1"/>
      <c r="D125" s="1"/>
      <c r="G125" s="52"/>
      <c r="H125" s="61"/>
      <c r="I125" s="21"/>
      <c r="J125" s="239"/>
      <c r="K125" s="61"/>
      <c r="L125" s="61"/>
      <c r="M125" s="61"/>
      <c r="N125" s="21"/>
      <c r="O125" s="239"/>
      <c r="P125" s="21"/>
      <c r="Q125" s="21"/>
      <c r="R125" s="249"/>
    </row>
    <row r="126" spans="1:19" outlineLevel="1" x14ac:dyDescent="0.5">
      <c r="B126" s="85"/>
      <c r="C126" s="2" t="s">
        <v>13</v>
      </c>
      <c r="D126" s="2"/>
      <c r="E126" s="2"/>
      <c r="F126" s="2"/>
      <c r="G126" s="52">
        <v>0.5</v>
      </c>
      <c r="H126" s="61">
        <v>0</v>
      </c>
      <c r="I126" s="21">
        <v>1</v>
      </c>
      <c r="J126" s="239">
        <v>1</v>
      </c>
      <c r="K126" s="61">
        <v>0</v>
      </c>
      <c r="L126" s="61">
        <v>0</v>
      </c>
      <c r="M126" s="61">
        <v>1</v>
      </c>
      <c r="N126" s="21">
        <v>0</v>
      </c>
      <c r="O126" s="239">
        <v>0</v>
      </c>
      <c r="P126" s="21">
        <v>0</v>
      </c>
      <c r="Q126" s="21">
        <v>0</v>
      </c>
      <c r="R126" s="249">
        <v>0</v>
      </c>
    </row>
    <row r="127" spans="1:19" outlineLevel="1" x14ac:dyDescent="0.5">
      <c r="B127" s="13" t="s">
        <v>14</v>
      </c>
      <c r="C127" s="1"/>
      <c r="D127" s="1"/>
      <c r="G127" s="52"/>
      <c r="H127" s="61"/>
      <c r="I127" s="21"/>
      <c r="J127" s="239"/>
      <c r="K127" s="61"/>
      <c r="L127" s="61"/>
      <c r="M127" s="61"/>
      <c r="N127" s="21"/>
      <c r="O127" s="239"/>
      <c r="P127" s="21"/>
      <c r="Q127" s="21"/>
      <c r="R127" s="249"/>
    </row>
    <row r="128" spans="1:19" outlineLevel="1" x14ac:dyDescent="0.5">
      <c r="B128" s="13"/>
      <c r="C128" s="2" t="s">
        <v>15</v>
      </c>
      <c r="D128" s="1"/>
      <c r="G128" s="52">
        <v>0</v>
      </c>
      <c r="H128" s="61">
        <v>0</v>
      </c>
      <c r="I128" s="21">
        <v>0</v>
      </c>
      <c r="J128" s="239">
        <v>0</v>
      </c>
      <c r="K128" s="61">
        <v>0</v>
      </c>
      <c r="L128" s="61">
        <v>1</v>
      </c>
      <c r="M128" s="61">
        <v>1</v>
      </c>
      <c r="N128" s="21">
        <v>0</v>
      </c>
      <c r="O128" s="239">
        <v>0</v>
      </c>
      <c r="P128" s="21">
        <v>0</v>
      </c>
      <c r="Q128" s="21">
        <v>0</v>
      </c>
      <c r="R128" s="249">
        <v>0</v>
      </c>
    </row>
    <row r="129" spans="1:19" outlineLevel="1" x14ac:dyDescent="0.5">
      <c r="B129" s="13"/>
      <c r="C129" s="2" t="s">
        <v>16</v>
      </c>
      <c r="D129" s="1"/>
      <c r="G129" s="52">
        <v>0</v>
      </c>
      <c r="H129" s="61">
        <v>0</v>
      </c>
      <c r="I129" s="21">
        <v>0</v>
      </c>
      <c r="J129" s="239">
        <v>0</v>
      </c>
      <c r="K129" s="61">
        <v>0</v>
      </c>
      <c r="L129" s="61">
        <v>0</v>
      </c>
      <c r="M129" s="61">
        <v>0</v>
      </c>
      <c r="N129" s="21">
        <v>0</v>
      </c>
      <c r="O129" s="239">
        <v>0</v>
      </c>
      <c r="P129" s="21">
        <v>0</v>
      </c>
      <c r="Q129" s="21">
        <v>0</v>
      </c>
      <c r="R129" s="249">
        <v>0</v>
      </c>
    </row>
    <row r="130" spans="1:19" outlineLevel="1" x14ac:dyDescent="0.5">
      <c r="B130" s="13"/>
      <c r="C130" s="2" t="s">
        <v>17</v>
      </c>
      <c r="D130" s="1"/>
      <c r="G130" s="52">
        <v>0</v>
      </c>
      <c r="H130" s="61">
        <v>0</v>
      </c>
      <c r="I130" s="21">
        <v>0</v>
      </c>
      <c r="J130" s="239">
        <v>0</v>
      </c>
      <c r="K130" s="61">
        <v>0</v>
      </c>
      <c r="L130" s="61">
        <v>0</v>
      </c>
      <c r="M130" s="61">
        <v>0</v>
      </c>
      <c r="N130" s="21">
        <v>0</v>
      </c>
      <c r="O130" s="239">
        <v>0</v>
      </c>
      <c r="P130" s="21">
        <v>0</v>
      </c>
      <c r="Q130" s="21">
        <v>0</v>
      </c>
      <c r="R130" s="249">
        <v>0</v>
      </c>
    </row>
    <row r="131" spans="1:19" outlineLevel="1" x14ac:dyDescent="0.5">
      <c r="B131" s="85"/>
      <c r="C131" s="2" t="s">
        <v>18</v>
      </c>
      <c r="D131" s="1"/>
      <c r="G131" s="52">
        <v>0</v>
      </c>
      <c r="H131" s="61">
        <v>0</v>
      </c>
      <c r="I131" s="21">
        <v>0</v>
      </c>
      <c r="J131" s="239">
        <v>0</v>
      </c>
      <c r="K131" s="61">
        <v>0</v>
      </c>
      <c r="L131" s="61">
        <v>0</v>
      </c>
      <c r="M131" s="61">
        <v>0</v>
      </c>
      <c r="N131" s="21">
        <v>0</v>
      </c>
      <c r="O131" s="239">
        <v>0</v>
      </c>
      <c r="P131" s="21">
        <v>0</v>
      </c>
      <c r="Q131" s="21">
        <v>0</v>
      </c>
      <c r="R131" s="249">
        <v>0</v>
      </c>
    </row>
    <row r="132" spans="1:19" ht="7.1" customHeight="1" outlineLevel="1" x14ac:dyDescent="0.5">
      <c r="B132" s="85"/>
      <c r="C132" s="1"/>
      <c r="D132" s="1"/>
      <c r="G132" s="52"/>
      <c r="H132" s="61"/>
      <c r="I132" s="21"/>
      <c r="J132" s="239"/>
      <c r="K132" s="61"/>
      <c r="L132" s="61"/>
      <c r="M132" s="61"/>
      <c r="N132" s="21"/>
      <c r="O132" s="239"/>
      <c r="P132" s="21"/>
      <c r="Q132" s="21"/>
      <c r="R132" s="249"/>
    </row>
    <row r="133" spans="1:19" s="9" customFormat="1" outlineLevel="1" x14ac:dyDescent="0.5">
      <c r="A133" s="1"/>
      <c r="B133" s="86" t="s">
        <v>19</v>
      </c>
      <c r="E133" s="11"/>
      <c r="F133" s="11"/>
      <c r="G133" s="51"/>
      <c r="H133" s="62"/>
      <c r="I133" s="22"/>
      <c r="J133" s="240"/>
      <c r="K133" s="62"/>
      <c r="L133" s="62"/>
      <c r="M133" s="62"/>
      <c r="N133" s="22"/>
      <c r="O133" s="240"/>
      <c r="P133" s="22"/>
      <c r="Q133" s="22"/>
      <c r="R133" s="250"/>
      <c r="S133" s="1"/>
    </row>
    <row r="134" spans="1:19" outlineLevel="1" x14ac:dyDescent="0.5">
      <c r="B134" s="14" t="s">
        <v>19</v>
      </c>
      <c r="C134" s="1"/>
      <c r="D134" s="1"/>
      <c r="E134" s="2"/>
      <c r="F134" s="2"/>
      <c r="G134" s="52">
        <v>0</v>
      </c>
      <c r="H134" s="61">
        <v>0</v>
      </c>
      <c r="I134" s="21">
        <v>0</v>
      </c>
      <c r="J134" s="239">
        <v>0</v>
      </c>
      <c r="K134" s="61">
        <v>0</v>
      </c>
      <c r="L134" s="61">
        <v>0</v>
      </c>
      <c r="M134" s="61">
        <v>0</v>
      </c>
      <c r="N134" s="21">
        <v>0</v>
      </c>
      <c r="O134" s="239">
        <v>0</v>
      </c>
      <c r="P134" s="21">
        <v>0</v>
      </c>
      <c r="Q134" s="21">
        <v>0</v>
      </c>
      <c r="R134" s="249">
        <v>0</v>
      </c>
    </row>
    <row r="135" spans="1:19" ht="7.1" customHeight="1" outlineLevel="1" x14ac:dyDescent="0.5">
      <c r="B135" s="14"/>
      <c r="C135" s="1"/>
      <c r="D135" s="1"/>
      <c r="E135" s="2"/>
      <c r="F135" s="2"/>
      <c r="G135" s="52"/>
      <c r="H135" s="61"/>
      <c r="I135" s="21"/>
      <c r="J135" s="239"/>
      <c r="K135" s="61"/>
      <c r="L135" s="61"/>
      <c r="M135" s="61"/>
      <c r="N135" s="21"/>
      <c r="O135" s="239"/>
      <c r="P135" s="21"/>
      <c r="Q135" s="21"/>
      <c r="R135" s="249"/>
    </row>
    <row r="136" spans="1:19" s="9" customFormat="1" outlineLevel="1" x14ac:dyDescent="0.5">
      <c r="A136" s="1"/>
      <c r="B136" s="86" t="s">
        <v>25</v>
      </c>
      <c r="G136" s="51"/>
      <c r="H136" s="62"/>
      <c r="I136" s="22"/>
      <c r="J136" s="240"/>
      <c r="K136" s="62"/>
      <c r="L136" s="62"/>
      <c r="M136" s="62"/>
      <c r="N136" s="22"/>
      <c r="O136" s="240"/>
      <c r="P136" s="22"/>
      <c r="Q136" s="22"/>
      <c r="R136" s="250"/>
      <c r="S136" s="1"/>
    </row>
    <row r="137" spans="1:19" outlineLevel="1" x14ac:dyDescent="0.5">
      <c r="B137" s="14" t="s">
        <v>25</v>
      </c>
      <c r="C137" s="1"/>
      <c r="D137" s="1"/>
      <c r="G137" s="52">
        <v>0.5</v>
      </c>
      <c r="H137" s="61">
        <v>0</v>
      </c>
      <c r="I137" s="21">
        <v>0</v>
      </c>
      <c r="J137" s="239">
        <v>0</v>
      </c>
      <c r="K137" s="61">
        <v>0</v>
      </c>
      <c r="L137" s="61">
        <v>0</v>
      </c>
      <c r="M137" s="61">
        <v>0</v>
      </c>
      <c r="N137" s="21">
        <v>0</v>
      </c>
      <c r="O137" s="239">
        <v>0</v>
      </c>
      <c r="P137" s="21">
        <v>0</v>
      </c>
      <c r="Q137" s="21">
        <v>1</v>
      </c>
      <c r="R137" s="249">
        <v>0</v>
      </c>
    </row>
    <row r="138" spans="1:19" ht="7.1" customHeight="1" outlineLevel="1" x14ac:dyDescent="0.5">
      <c r="B138" s="14"/>
      <c r="C138" s="1"/>
      <c r="D138" s="1"/>
      <c r="G138" s="52"/>
      <c r="H138" s="61"/>
      <c r="I138" s="21"/>
      <c r="J138" s="239"/>
      <c r="K138" s="61"/>
      <c r="L138" s="61"/>
      <c r="M138" s="61"/>
      <c r="N138" s="21"/>
      <c r="O138" s="239"/>
      <c r="P138" s="21"/>
      <c r="Q138" s="21">
        <v>0</v>
      </c>
      <c r="R138" s="249"/>
    </row>
    <row r="139" spans="1:19" s="9" customFormat="1" outlineLevel="1" x14ac:dyDescent="0.5">
      <c r="A139" s="1"/>
      <c r="B139" s="86" t="s">
        <v>4</v>
      </c>
      <c r="G139" s="51"/>
      <c r="H139" s="62"/>
      <c r="I139" s="22"/>
      <c r="J139" s="240"/>
      <c r="K139" s="62"/>
      <c r="L139" s="62"/>
      <c r="M139" s="62"/>
      <c r="N139" s="22"/>
      <c r="O139" s="240"/>
      <c r="P139" s="22"/>
      <c r="Q139" s="22"/>
      <c r="R139" s="250"/>
      <c r="S139" s="1"/>
    </row>
    <row r="140" spans="1:19" outlineLevel="1" x14ac:dyDescent="0.5">
      <c r="B140" s="14" t="s">
        <v>20</v>
      </c>
      <c r="C140" s="1"/>
      <c r="D140" s="1"/>
      <c r="E140" s="2"/>
      <c r="F140" s="2"/>
      <c r="G140" s="52">
        <v>0.5</v>
      </c>
      <c r="H140" s="61">
        <v>1</v>
      </c>
      <c r="I140" s="21">
        <v>0</v>
      </c>
      <c r="J140" s="239">
        <v>1</v>
      </c>
      <c r="K140" s="61">
        <v>0</v>
      </c>
      <c r="L140" s="61">
        <v>0</v>
      </c>
      <c r="M140" s="61">
        <v>0</v>
      </c>
      <c r="N140" s="21">
        <v>0</v>
      </c>
      <c r="O140" s="239">
        <v>0</v>
      </c>
      <c r="P140" s="21">
        <v>0</v>
      </c>
      <c r="Q140" s="21">
        <v>0</v>
      </c>
      <c r="R140" s="249">
        <v>0</v>
      </c>
    </row>
    <row r="141" spans="1:19" outlineLevel="1" x14ac:dyDescent="0.5">
      <c r="B141" s="14" t="s">
        <v>11</v>
      </c>
      <c r="C141" s="1"/>
      <c r="D141" s="1"/>
      <c r="E141" s="2"/>
      <c r="F141" s="2"/>
      <c r="G141" s="52">
        <v>0.5</v>
      </c>
      <c r="H141" s="61">
        <v>0</v>
      </c>
      <c r="I141" s="21">
        <v>0</v>
      </c>
      <c r="J141" s="239">
        <v>0</v>
      </c>
      <c r="K141" s="61">
        <v>1</v>
      </c>
      <c r="L141" s="61">
        <v>1</v>
      </c>
      <c r="M141" s="61">
        <v>1</v>
      </c>
      <c r="N141" s="21">
        <v>0</v>
      </c>
      <c r="O141" s="239">
        <v>0</v>
      </c>
      <c r="P141" s="21">
        <v>0</v>
      </c>
      <c r="Q141" s="21">
        <v>0</v>
      </c>
      <c r="R141" s="249">
        <v>0</v>
      </c>
    </row>
    <row r="142" spans="1:19" ht="14.7" outlineLevel="1" thickBot="1" x14ac:dyDescent="0.55000000000000004">
      <c r="B142" s="38" t="s">
        <v>55</v>
      </c>
      <c r="C142" s="16"/>
      <c r="D142" s="16"/>
      <c r="E142" s="15"/>
      <c r="F142" s="15"/>
      <c r="G142" s="63">
        <v>0</v>
      </c>
      <c r="H142" s="23">
        <v>1</v>
      </c>
      <c r="I142" s="23">
        <v>0</v>
      </c>
      <c r="J142" s="241">
        <v>0</v>
      </c>
      <c r="K142" s="23">
        <v>0</v>
      </c>
      <c r="L142" s="23">
        <v>0</v>
      </c>
      <c r="M142" s="23">
        <v>0</v>
      </c>
      <c r="N142" s="23">
        <v>0</v>
      </c>
      <c r="O142" s="241">
        <v>0</v>
      </c>
      <c r="P142" s="23">
        <v>0</v>
      </c>
      <c r="Q142" s="23">
        <v>0</v>
      </c>
      <c r="R142" s="251">
        <v>0</v>
      </c>
    </row>
    <row r="143" spans="1:19" outlineLevel="1" x14ac:dyDescent="0.5"/>
    <row r="144" spans="1:19" ht="14.7" thickBot="1" x14ac:dyDescent="0.55000000000000004"/>
    <row r="145" spans="2:18" ht="14.7" thickBot="1" x14ac:dyDescent="0.55000000000000004">
      <c r="B145" s="124" t="s">
        <v>178</v>
      </c>
      <c r="C145" s="125"/>
      <c r="D145" s="125"/>
      <c r="E145" s="126"/>
      <c r="F145" s="126"/>
      <c r="G145" s="127"/>
      <c r="H145" s="237"/>
      <c r="I145" s="128"/>
      <c r="J145" s="128"/>
      <c r="K145" s="128"/>
      <c r="L145" s="128"/>
      <c r="M145" s="128"/>
      <c r="N145" s="128"/>
      <c r="O145" s="237"/>
      <c r="P145" s="128"/>
      <c r="Q145" s="128"/>
      <c r="R145" s="247"/>
    </row>
    <row r="146" spans="2:18" x14ac:dyDescent="0.5">
      <c r="B146" s="84" t="s">
        <v>21</v>
      </c>
      <c r="C146" s="77"/>
      <c r="D146" s="77"/>
      <c r="E146" s="9"/>
      <c r="F146" s="9"/>
      <c r="G146" s="50"/>
      <c r="H146" s="60"/>
      <c r="I146" s="60"/>
      <c r="J146" s="238"/>
      <c r="K146" s="60"/>
      <c r="L146" s="60"/>
      <c r="M146" s="60"/>
      <c r="N146" s="20"/>
      <c r="O146" s="238"/>
      <c r="P146" s="20"/>
      <c r="Q146" s="20"/>
      <c r="R146" s="248"/>
    </row>
    <row r="147" spans="2:18" x14ac:dyDescent="0.5">
      <c r="B147" s="14" t="s">
        <v>59</v>
      </c>
      <c r="C147" s="1"/>
      <c r="D147" s="1"/>
      <c r="G147" s="52"/>
      <c r="H147" s="61"/>
      <c r="I147" s="61"/>
      <c r="J147" s="239"/>
      <c r="K147" s="61"/>
      <c r="L147" s="61"/>
      <c r="M147" s="61"/>
      <c r="N147" s="21"/>
      <c r="O147" s="239"/>
      <c r="P147" s="21"/>
      <c r="Q147" s="21"/>
      <c r="R147" s="249"/>
    </row>
    <row r="148" spans="2:18" x14ac:dyDescent="0.5">
      <c r="B148" s="14"/>
      <c r="C148" s="2" t="s">
        <v>52</v>
      </c>
      <c r="D148" s="1"/>
      <c r="G148" s="52">
        <v>0.27</v>
      </c>
      <c r="H148" s="61">
        <v>0.27</v>
      </c>
      <c r="I148" s="21">
        <v>0</v>
      </c>
      <c r="J148" s="239">
        <v>0</v>
      </c>
      <c r="K148" s="61">
        <v>0</v>
      </c>
      <c r="L148" s="61">
        <v>0</v>
      </c>
      <c r="M148" s="61">
        <v>0</v>
      </c>
      <c r="N148" s="21">
        <v>0</v>
      </c>
      <c r="O148" s="239">
        <v>0</v>
      </c>
      <c r="P148" s="21">
        <v>0</v>
      </c>
      <c r="Q148" s="21">
        <v>0</v>
      </c>
      <c r="R148" s="249">
        <v>0</v>
      </c>
    </row>
    <row r="149" spans="2:18" x14ac:dyDescent="0.5">
      <c r="B149" s="85"/>
      <c r="C149" s="2" t="s">
        <v>58</v>
      </c>
      <c r="D149" s="1"/>
      <c r="G149" s="52">
        <v>0.27</v>
      </c>
      <c r="H149" s="61">
        <v>0</v>
      </c>
      <c r="I149" s="21">
        <v>0</v>
      </c>
      <c r="J149" s="239">
        <v>0</v>
      </c>
      <c r="K149" s="61">
        <v>0</v>
      </c>
      <c r="L149" s="61">
        <v>0</v>
      </c>
      <c r="M149" s="61">
        <v>0</v>
      </c>
      <c r="N149" s="21">
        <v>0</v>
      </c>
      <c r="O149" s="239">
        <v>0</v>
      </c>
      <c r="P149" s="21">
        <v>0</v>
      </c>
      <c r="Q149" s="21">
        <v>0</v>
      </c>
      <c r="R149" s="249">
        <v>0</v>
      </c>
    </row>
    <row r="150" spans="2:18" x14ac:dyDescent="0.5">
      <c r="B150" s="14" t="s">
        <v>5</v>
      </c>
      <c r="C150" s="1"/>
      <c r="D150" s="1"/>
      <c r="E150" s="2"/>
      <c r="F150" s="2"/>
      <c r="G150" s="52">
        <v>0.27</v>
      </c>
      <c r="H150" s="61">
        <v>0.27</v>
      </c>
      <c r="I150" s="21">
        <v>0.27</v>
      </c>
      <c r="J150" s="239">
        <v>0.27</v>
      </c>
      <c r="K150" s="61">
        <v>0.19</v>
      </c>
      <c r="L150" s="61">
        <v>0.19</v>
      </c>
      <c r="M150" s="61">
        <v>0</v>
      </c>
      <c r="N150" s="21">
        <v>0</v>
      </c>
      <c r="O150" s="239">
        <v>0</v>
      </c>
      <c r="P150" s="21">
        <v>0</v>
      </c>
      <c r="Q150" s="21">
        <v>0</v>
      </c>
      <c r="R150" s="249">
        <v>0</v>
      </c>
    </row>
    <row r="151" spans="2:18" x14ac:dyDescent="0.5">
      <c r="B151" s="14" t="s">
        <v>6</v>
      </c>
      <c r="C151" s="1"/>
      <c r="D151" s="1"/>
      <c r="G151" s="52">
        <v>0.27</v>
      </c>
      <c r="H151" s="61">
        <v>0</v>
      </c>
      <c r="I151" s="21">
        <v>0.27</v>
      </c>
      <c r="J151" s="239">
        <v>0.27</v>
      </c>
      <c r="K151" s="61">
        <v>0</v>
      </c>
      <c r="L151" s="61">
        <v>0.19</v>
      </c>
      <c r="M151" s="61">
        <v>0</v>
      </c>
      <c r="N151" s="21">
        <v>0</v>
      </c>
      <c r="O151" s="239">
        <v>0</v>
      </c>
      <c r="P151" s="21">
        <v>0</v>
      </c>
      <c r="Q151" s="21">
        <v>0.14000000000000001</v>
      </c>
      <c r="R151" s="249">
        <v>0</v>
      </c>
    </row>
    <row r="152" spans="2:18" x14ac:dyDescent="0.5">
      <c r="B152" s="85"/>
      <c r="C152" s="1"/>
      <c r="D152" s="1"/>
      <c r="G152" s="52"/>
      <c r="H152" s="61"/>
      <c r="I152" s="21"/>
      <c r="J152" s="239"/>
      <c r="K152" s="61"/>
      <c r="L152" s="61"/>
      <c r="M152" s="61"/>
      <c r="N152" s="21"/>
      <c r="O152" s="239"/>
      <c r="P152" s="21"/>
      <c r="Q152" s="21"/>
      <c r="R152" s="249"/>
    </row>
    <row r="153" spans="2:18" x14ac:dyDescent="0.5">
      <c r="B153" s="86" t="s">
        <v>22</v>
      </c>
      <c r="C153" s="9"/>
      <c r="D153" s="9"/>
      <c r="E153" s="9"/>
      <c r="F153" s="9"/>
      <c r="G153" s="51"/>
      <c r="H153" s="62"/>
      <c r="I153" s="22"/>
      <c r="J153" s="240"/>
      <c r="K153" s="62"/>
      <c r="L153" s="62"/>
      <c r="M153" s="62"/>
      <c r="N153" s="22"/>
      <c r="O153" s="240"/>
      <c r="P153" s="22"/>
      <c r="Q153" s="22"/>
      <c r="R153" s="250"/>
    </row>
    <row r="154" spans="2:18" x14ac:dyDescent="0.5">
      <c r="B154" s="14" t="s">
        <v>53</v>
      </c>
      <c r="C154" s="1"/>
      <c r="D154" s="1"/>
      <c r="G154" s="52"/>
      <c r="H154" s="61"/>
      <c r="I154" s="21"/>
      <c r="J154" s="239"/>
      <c r="K154" s="61"/>
      <c r="L154" s="61"/>
      <c r="M154" s="61"/>
      <c r="N154" s="21"/>
      <c r="O154" s="239"/>
      <c r="P154" s="21"/>
      <c r="Q154" s="21"/>
      <c r="R154" s="249"/>
    </row>
    <row r="155" spans="2:18" x14ac:dyDescent="0.5">
      <c r="B155" s="14"/>
      <c r="C155" s="2" t="s">
        <v>47</v>
      </c>
      <c r="D155" s="1"/>
      <c r="G155" s="52">
        <v>0</v>
      </c>
      <c r="H155" s="61">
        <v>0</v>
      </c>
      <c r="I155" s="21">
        <v>0</v>
      </c>
      <c r="J155" s="239">
        <v>0</v>
      </c>
      <c r="K155" s="61">
        <v>0</v>
      </c>
      <c r="L155" s="61">
        <v>0</v>
      </c>
      <c r="M155" s="61">
        <v>0</v>
      </c>
      <c r="N155" s="21">
        <v>0</v>
      </c>
      <c r="O155" s="239">
        <v>0</v>
      </c>
      <c r="P155" s="21">
        <v>0</v>
      </c>
      <c r="Q155" s="21">
        <v>0</v>
      </c>
      <c r="R155" s="249">
        <v>0</v>
      </c>
    </row>
    <row r="156" spans="2:18" x14ac:dyDescent="0.5">
      <c r="B156" s="85"/>
      <c r="C156" s="2" t="s">
        <v>48</v>
      </c>
      <c r="D156" s="1"/>
      <c r="E156" s="2"/>
      <c r="F156" s="2"/>
      <c r="G156" s="52">
        <v>0</v>
      </c>
      <c r="H156" s="61">
        <v>0</v>
      </c>
      <c r="I156" s="21">
        <v>0</v>
      </c>
      <c r="J156" s="239">
        <v>0</v>
      </c>
      <c r="K156" s="61">
        <v>0.19</v>
      </c>
      <c r="L156" s="61">
        <v>0</v>
      </c>
      <c r="M156" s="61">
        <v>0</v>
      </c>
      <c r="N156" s="21">
        <v>0</v>
      </c>
      <c r="O156" s="239">
        <v>0</v>
      </c>
      <c r="P156" s="21">
        <v>0</v>
      </c>
      <c r="Q156" s="21">
        <v>0</v>
      </c>
      <c r="R156" s="249">
        <v>0</v>
      </c>
    </row>
    <row r="157" spans="2:18" x14ac:dyDescent="0.5">
      <c r="B157" s="14" t="s">
        <v>46</v>
      </c>
      <c r="C157" s="2"/>
      <c r="D157" s="1"/>
      <c r="E157" s="2"/>
      <c r="F157" s="2"/>
      <c r="G157" s="52">
        <v>0</v>
      </c>
      <c r="H157" s="61">
        <v>0</v>
      </c>
      <c r="I157" s="21">
        <v>0</v>
      </c>
      <c r="J157" s="239">
        <v>0</v>
      </c>
      <c r="K157" s="61">
        <v>0.19</v>
      </c>
      <c r="L157" s="61">
        <v>0</v>
      </c>
      <c r="M157" s="61">
        <v>0</v>
      </c>
      <c r="N157" s="21">
        <v>0</v>
      </c>
      <c r="O157" s="239">
        <v>0</v>
      </c>
      <c r="P157" s="21">
        <v>0</v>
      </c>
      <c r="Q157" s="21">
        <v>0</v>
      </c>
      <c r="R157" s="249">
        <v>0</v>
      </c>
    </row>
    <row r="158" spans="2:18" x14ac:dyDescent="0.5">
      <c r="B158" s="14" t="s">
        <v>8</v>
      </c>
      <c r="C158" s="1"/>
      <c r="D158" s="1"/>
      <c r="E158" s="2"/>
      <c r="F158" s="2"/>
      <c r="G158" s="52">
        <v>0</v>
      </c>
      <c r="H158" s="61">
        <v>0</v>
      </c>
      <c r="I158" s="21">
        <v>0.19</v>
      </c>
      <c r="J158" s="239">
        <v>0</v>
      </c>
      <c r="K158" s="61">
        <v>0.19</v>
      </c>
      <c r="L158" s="61">
        <v>0.19</v>
      </c>
      <c r="M158" s="61">
        <v>0</v>
      </c>
      <c r="N158" s="21">
        <v>0</v>
      </c>
      <c r="O158" s="239">
        <v>0</v>
      </c>
      <c r="P158" s="21">
        <v>0</v>
      </c>
      <c r="Q158" s="21">
        <v>0</v>
      </c>
      <c r="R158" s="249">
        <v>0</v>
      </c>
    </row>
    <row r="159" spans="2:18" x14ac:dyDescent="0.5">
      <c r="B159" s="85"/>
      <c r="C159" s="1"/>
      <c r="D159" s="1"/>
      <c r="E159" s="2"/>
      <c r="F159" s="2"/>
      <c r="G159" s="52"/>
      <c r="H159" s="61"/>
      <c r="I159" s="21"/>
      <c r="J159" s="239"/>
      <c r="K159" s="61"/>
      <c r="L159" s="61"/>
      <c r="M159" s="61"/>
      <c r="N159" s="21"/>
      <c r="O159" s="239"/>
      <c r="P159" s="21"/>
      <c r="Q159" s="21"/>
      <c r="R159" s="249"/>
    </row>
    <row r="160" spans="2:18" x14ac:dyDescent="0.5">
      <c r="B160" s="84" t="s">
        <v>23</v>
      </c>
      <c r="C160" s="9"/>
      <c r="D160" s="9"/>
      <c r="E160" s="9"/>
      <c r="F160" s="9"/>
      <c r="G160" s="51"/>
      <c r="H160" s="62"/>
      <c r="I160" s="22"/>
      <c r="J160" s="240"/>
      <c r="K160" s="62"/>
      <c r="L160" s="62"/>
      <c r="M160" s="62"/>
      <c r="N160" s="22"/>
      <c r="O160" s="240"/>
      <c r="P160" s="22"/>
      <c r="Q160" s="22"/>
      <c r="R160" s="250"/>
    </row>
    <row r="161" spans="2:18" x14ac:dyDescent="0.5">
      <c r="B161" s="14" t="s">
        <v>54</v>
      </c>
      <c r="C161" s="1"/>
      <c r="D161" s="1"/>
      <c r="E161" s="2"/>
      <c r="F161" s="2"/>
      <c r="G161" s="52">
        <v>0</v>
      </c>
      <c r="H161" s="61">
        <v>0.27</v>
      </c>
      <c r="I161" s="21">
        <v>0</v>
      </c>
      <c r="J161" s="239">
        <v>0</v>
      </c>
      <c r="K161" s="61">
        <v>0</v>
      </c>
      <c r="L161" s="61">
        <v>0</v>
      </c>
      <c r="M161" s="61">
        <v>0</v>
      </c>
      <c r="N161" s="21">
        <v>0</v>
      </c>
      <c r="O161" s="239">
        <v>0</v>
      </c>
      <c r="P161" s="21">
        <v>0</v>
      </c>
      <c r="Q161" s="21">
        <v>0</v>
      </c>
      <c r="R161" s="249">
        <v>0</v>
      </c>
    </row>
    <row r="162" spans="2:18" x14ac:dyDescent="0.5">
      <c r="B162" s="14" t="s">
        <v>9</v>
      </c>
      <c r="C162" s="1"/>
      <c r="D162" s="1"/>
      <c r="E162" s="2"/>
      <c r="F162" s="2"/>
      <c r="G162" s="52">
        <v>0.27</v>
      </c>
      <c r="H162" s="61">
        <v>0</v>
      </c>
      <c r="I162" s="21">
        <v>0</v>
      </c>
      <c r="J162" s="239">
        <v>0</v>
      </c>
      <c r="K162" s="61">
        <v>0</v>
      </c>
      <c r="L162" s="61">
        <v>0</v>
      </c>
      <c r="M162" s="61">
        <v>0</v>
      </c>
      <c r="N162" s="21">
        <v>0</v>
      </c>
      <c r="O162" s="239">
        <v>0</v>
      </c>
      <c r="P162" s="21">
        <v>0</v>
      </c>
      <c r="Q162" s="21">
        <v>0</v>
      </c>
      <c r="R162" s="249">
        <v>0</v>
      </c>
    </row>
    <row r="163" spans="2:18" x14ac:dyDescent="0.5">
      <c r="B163" s="85"/>
      <c r="C163" s="1"/>
      <c r="D163" s="1"/>
      <c r="G163" s="52"/>
      <c r="H163" s="61"/>
      <c r="I163" s="21"/>
      <c r="J163" s="239"/>
      <c r="K163" s="61"/>
      <c r="L163" s="61"/>
      <c r="M163" s="61"/>
      <c r="N163" s="21"/>
      <c r="O163" s="239"/>
      <c r="P163" s="21"/>
      <c r="Q163" s="21"/>
      <c r="R163" s="249"/>
    </row>
    <row r="164" spans="2:18" x14ac:dyDescent="0.5">
      <c r="B164" s="84" t="s">
        <v>10</v>
      </c>
      <c r="C164" s="9"/>
      <c r="D164" s="9"/>
      <c r="E164" s="9"/>
      <c r="F164" s="9"/>
      <c r="G164" s="51"/>
      <c r="H164" s="62"/>
      <c r="I164" s="22"/>
      <c r="J164" s="240"/>
      <c r="K164" s="62"/>
      <c r="L164" s="62"/>
      <c r="M164" s="62"/>
      <c r="N164" s="22"/>
      <c r="O164" s="240"/>
      <c r="P164" s="22"/>
      <c r="Q164" s="22"/>
      <c r="R164" s="250"/>
    </row>
    <row r="165" spans="2:18" x14ac:dyDescent="0.5">
      <c r="B165" s="14" t="s">
        <v>49</v>
      </c>
      <c r="D165" s="1"/>
      <c r="G165" s="52">
        <v>0.27</v>
      </c>
      <c r="H165" s="61">
        <v>0</v>
      </c>
      <c r="I165" s="21">
        <v>0</v>
      </c>
      <c r="J165" s="239">
        <v>0</v>
      </c>
      <c r="K165" s="61">
        <v>0</v>
      </c>
      <c r="L165" s="61">
        <v>0</v>
      </c>
      <c r="M165" s="61">
        <v>0</v>
      </c>
      <c r="N165" s="21">
        <v>0</v>
      </c>
      <c r="O165" s="239">
        <v>0</v>
      </c>
      <c r="P165" s="21">
        <v>0</v>
      </c>
      <c r="Q165" s="21">
        <v>0</v>
      </c>
      <c r="R165" s="249">
        <v>0</v>
      </c>
    </row>
    <row r="166" spans="2:18" x14ac:dyDescent="0.5">
      <c r="B166" s="14" t="s">
        <v>50</v>
      </c>
      <c r="D166" s="1"/>
      <c r="G166" s="52">
        <v>0.27</v>
      </c>
      <c r="H166" s="61">
        <v>0</v>
      </c>
      <c r="I166" s="21">
        <v>0</v>
      </c>
      <c r="J166" s="239">
        <v>0</v>
      </c>
      <c r="K166" s="61">
        <v>0.19</v>
      </c>
      <c r="L166" s="61">
        <v>0.19</v>
      </c>
      <c r="M166" s="61">
        <v>0</v>
      </c>
      <c r="N166" s="21">
        <v>0</v>
      </c>
      <c r="O166" s="239">
        <v>0</v>
      </c>
      <c r="P166" s="21">
        <v>0</v>
      </c>
      <c r="Q166" s="21">
        <v>0</v>
      </c>
      <c r="R166" s="249">
        <v>0</v>
      </c>
    </row>
    <row r="167" spans="2:18" x14ac:dyDescent="0.5">
      <c r="B167" s="85"/>
      <c r="C167" s="1"/>
      <c r="D167" s="1"/>
      <c r="G167" s="52"/>
      <c r="H167" s="61"/>
      <c r="I167" s="21"/>
      <c r="J167" s="239"/>
      <c r="K167" s="61"/>
      <c r="L167" s="61"/>
      <c r="M167" s="61"/>
      <c r="N167" s="21"/>
      <c r="O167" s="239"/>
      <c r="P167" s="21"/>
      <c r="Q167" s="21"/>
      <c r="R167" s="249"/>
    </row>
    <row r="168" spans="2:18" x14ac:dyDescent="0.5">
      <c r="B168" s="84" t="s">
        <v>24</v>
      </c>
      <c r="C168" s="9"/>
      <c r="D168" s="9"/>
      <c r="E168" s="9"/>
      <c r="F168" s="9"/>
      <c r="G168" s="51"/>
      <c r="H168" s="62"/>
      <c r="I168" s="22"/>
      <c r="J168" s="240"/>
      <c r="K168" s="62"/>
      <c r="L168" s="62"/>
      <c r="M168" s="62"/>
      <c r="N168" s="22"/>
      <c r="O168" s="240"/>
      <c r="P168" s="22"/>
      <c r="Q168" s="22"/>
      <c r="R168" s="250"/>
    </row>
    <row r="169" spans="2:18" x14ac:dyDescent="0.5">
      <c r="B169" s="14" t="s">
        <v>12</v>
      </c>
      <c r="C169" s="1"/>
      <c r="D169" s="1"/>
      <c r="G169" s="52"/>
      <c r="H169" s="61"/>
      <c r="I169" s="21"/>
      <c r="J169" s="239"/>
      <c r="K169" s="61"/>
      <c r="L169" s="61"/>
      <c r="M169" s="61"/>
      <c r="N169" s="21"/>
      <c r="O169" s="239"/>
      <c r="P169" s="21"/>
      <c r="Q169" s="21"/>
      <c r="R169" s="249"/>
    </row>
    <row r="170" spans="2:18" x14ac:dyDescent="0.5">
      <c r="B170" s="85"/>
      <c r="C170" s="2" t="s">
        <v>13</v>
      </c>
      <c r="D170" s="2"/>
      <c r="E170" s="2"/>
      <c r="F170" s="2"/>
      <c r="G170" s="52">
        <v>0.27</v>
      </c>
      <c r="H170" s="61">
        <v>0</v>
      </c>
      <c r="I170" s="21">
        <v>0.27</v>
      </c>
      <c r="J170" s="239">
        <v>0.27</v>
      </c>
      <c r="K170" s="61">
        <v>0</v>
      </c>
      <c r="L170" s="61">
        <v>0</v>
      </c>
      <c r="M170" s="61">
        <v>0</v>
      </c>
      <c r="N170" s="21">
        <v>0</v>
      </c>
      <c r="O170" s="239">
        <v>0</v>
      </c>
      <c r="P170" s="21">
        <v>0</v>
      </c>
      <c r="Q170" s="21">
        <v>0</v>
      </c>
      <c r="R170" s="249">
        <v>0</v>
      </c>
    </row>
    <row r="171" spans="2:18" x14ac:dyDescent="0.5">
      <c r="B171" s="13" t="s">
        <v>14</v>
      </c>
      <c r="C171" s="1"/>
      <c r="D171" s="1"/>
      <c r="G171" s="52"/>
      <c r="H171" s="61"/>
      <c r="I171" s="21"/>
      <c r="J171" s="239"/>
      <c r="K171" s="61"/>
      <c r="L171" s="61"/>
      <c r="M171" s="61"/>
      <c r="N171" s="21"/>
      <c r="O171" s="239"/>
      <c r="P171" s="21"/>
      <c r="Q171" s="21"/>
      <c r="R171" s="249"/>
    </row>
    <row r="172" spans="2:18" x14ac:dyDescent="0.5">
      <c r="B172" s="13"/>
      <c r="C172" s="2" t="s">
        <v>15</v>
      </c>
      <c r="D172" s="1"/>
      <c r="G172" s="52">
        <v>0</v>
      </c>
      <c r="H172" s="61">
        <v>0</v>
      </c>
      <c r="I172" s="21">
        <v>0</v>
      </c>
      <c r="J172" s="239">
        <v>0</v>
      </c>
      <c r="K172" s="61">
        <v>0</v>
      </c>
      <c r="L172" s="61">
        <v>0.19</v>
      </c>
      <c r="M172" s="61">
        <v>0</v>
      </c>
      <c r="N172" s="21">
        <v>0</v>
      </c>
      <c r="O172" s="239">
        <v>0</v>
      </c>
      <c r="P172" s="21">
        <v>0</v>
      </c>
      <c r="Q172" s="21">
        <v>0</v>
      </c>
      <c r="R172" s="249">
        <v>0</v>
      </c>
    </row>
    <row r="173" spans="2:18" x14ac:dyDescent="0.5">
      <c r="B173" s="13"/>
      <c r="C173" s="2" t="s">
        <v>16</v>
      </c>
      <c r="D173" s="1"/>
      <c r="G173" s="52">
        <v>0</v>
      </c>
      <c r="H173" s="61">
        <v>0</v>
      </c>
      <c r="I173" s="21">
        <v>0</v>
      </c>
      <c r="J173" s="239">
        <v>0</v>
      </c>
      <c r="K173" s="61">
        <v>0</v>
      </c>
      <c r="L173" s="61">
        <v>0</v>
      </c>
      <c r="M173" s="61">
        <v>0</v>
      </c>
      <c r="N173" s="21">
        <v>0</v>
      </c>
      <c r="O173" s="239">
        <v>0</v>
      </c>
      <c r="P173" s="21">
        <v>0</v>
      </c>
      <c r="Q173" s="21">
        <v>0</v>
      </c>
      <c r="R173" s="249">
        <v>0</v>
      </c>
    </row>
    <row r="174" spans="2:18" x14ac:dyDescent="0.5">
      <c r="B174" s="13"/>
      <c r="C174" s="2" t="s">
        <v>17</v>
      </c>
      <c r="D174" s="1"/>
      <c r="G174" s="52">
        <v>0</v>
      </c>
      <c r="H174" s="61">
        <v>0</v>
      </c>
      <c r="I174" s="21">
        <v>0</v>
      </c>
      <c r="J174" s="239">
        <v>0</v>
      </c>
      <c r="K174" s="61">
        <v>0</v>
      </c>
      <c r="L174" s="61">
        <v>0</v>
      </c>
      <c r="M174" s="61">
        <v>0</v>
      </c>
      <c r="N174" s="21">
        <v>0</v>
      </c>
      <c r="O174" s="239">
        <v>0</v>
      </c>
      <c r="P174" s="21">
        <v>0</v>
      </c>
      <c r="Q174" s="21">
        <v>0</v>
      </c>
      <c r="R174" s="249">
        <v>0</v>
      </c>
    </row>
    <row r="175" spans="2:18" x14ac:dyDescent="0.5">
      <c r="B175" s="85"/>
      <c r="C175" s="2" t="s">
        <v>18</v>
      </c>
      <c r="D175" s="1"/>
      <c r="G175" s="52">
        <v>0</v>
      </c>
      <c r="H175" s="61">
        <v>0</v>
      </c>
      <c r="I175" s="21">
        <v>0</v>
      </c>
      <c r="J175" s="239">
        <v>0</v>
      </c>
      <c r="K175" s="61">
        <v>0</v>
      </c>
      <c r="L175" s="61">
        <v>0</v>
      </c>
      <c r="M175" s="61">
        <v>0</v>
      </c>
      <c r="N175" s="21">
        <v>0</v>
      </c>
      <c r="O175" s="239">
        <v>0</v>
      </c>
      <c r="P175" s="21">
        <v>0</v>
      </c>
      <c r="Q175" s="21">
        <v>0</v>
      </c>
      <c r="R175" s="249">
        <v>0</v>
      </c>
    </row>
    <row r="176" spans="2:18" x14ac:dyDescent="0.5">
      <c r="B176" s="85"/>
      <c r="C176" s="1"/>
      <c r="D176" s="1"/>
      <c r="G176" s="52"/>
      <c r="H176" s="61"/>
      <c r="I176" s="21"/>
      <c r="J176" s="239"/>
      <c r="K176" s="61"/>
      <c r="L176" s="61"/>
      <c r="M176" s="61"/>
      <c r="N176" s="21"/>
      <c r="O176" s="239"/>
      <c r="P176" s="21"/>
      <c r="Q176" s="21"/>
      <c r="R176" s="249"/>
    </row>
    <row r="177" spans="2:18" x14ac:dyDescent="0.5">
      <c r="B177" s="86" t="s">
        <v>19</v>
      </c>
      <c r="C177" s="9"/>
      <c r="D177" s="9"/>
      <c r="E177" s="11"/>
      <c r="F177" s="11"/>
      <c r="G177" s="51"/>
      <c r="H177" s="62"/>
      <c r="I177" s="22"/>
      <c r="J177" s="240"/>
      <c r="K177" s="62"/>
      <c r="L177" s="62"/>
      <c r="M177" s="62"/>
      <c r="N177" s="22"/>
      <c r="O177" s="240"/>
      <c r="P177" s="22"/>
      <c r="Q177" s="22"/>
      <c r="R177" s="250"/>
    </row>
    <row r="178" spans="2:18" x14ac:dyDescent="0.5">
      <c r="B178" s="14" t="s">
        <v>19</v>
      </c>
      <c r="C178" s="1"/>
      <c r="D178" s="1"/>
      <c r="E178" s="2"/>
      <c r="F178" s="2"/>
      <c r="G178" s="52">
        <v>0</v>
      </c>
      <c r="H178" s="61">
        <v>0</v>
      </c>
      <c r="I178" s="21">
        <v>0</v>
      </c>
      <c r="J178" s="239">
        <v>0</v>
      </c>
      <c r="K178" s="61">
        <v>0</v>
      </c>
      <c r="L178" s="61">
        <v>0</v>
      </c>
      <c r="M178" s="61">
        <v>0</v>
      </c>
      <c r="N178" s="21">
        <v>0</v>
      </c>
      <c r="O178" s="239">
        <v>0</v>
      </c>
      <c r="P178" s="21">
        <v>0</v>
      </c>
      <c r="Q178" s="21">
        <v>0</v>
      </c>
      <c r="R178" s="249">
        <v>0</v>
      </c>
    </row>
    <row r="179" spans="2:18" x14ac:dyDescent="0.5">
      <c r="B179" s="14"/>
      <c r="C179" s="1"/>
      <c r="D179" s="1"/>
      <c r="E179" s="2"/>
      <c r="F179" s="2"/>
      <c r="G179" s="52"/>
      <c r="H179" s="61"/>
      <c r="I179" s="21"/>
      <c r="J179" s="239"/>
      <c r="K179" s="61"/>
      <c r="L179" s="61"/>
      <c r="M179" s="61"/>
      <c r="N179" s="21"/>
      <c r="O179" s="239"/>
      <c r="P179" s="21"/>
      <c r="Q179" s="21"/>
      <c r="R179" s="249"/>
    </row>
    <row r="180" spans="2:18" x14ac:dyDescent="0.5">
      <c r="B180" s="86" t="s">
        <v>25</v>
      </c>
      <c r="C180" s="9"/>
      <c r="D180" s="9"/>
      <c r="E180" s="9"/>
      <c r="F180" s="9"/>
      <c r="G180" s="51"/>
      <c r="H180" s="62"/>
      <c r="I180" s="22"/>
      <c r="J180" s="240"/>
      <c r="K180" s="62"/>
      <c r="L180" s="62"/>
      <c r="M180" s="62"/>
      <c r="N180" s="22"/>
      <c r="O180" s="240"/>
      <c r="P180" s="22"/>
      <c r="Q180" s="22"/>
      <c r="R180" s="250"/>
    </row>
    <row r="181" spans="2:18" x14ac:dyDescent="0.5">
      <c r="B181" s="14" t="s">
        <v>25</v>
      </c>
      <c r="C181" s="1"/>
      <c r="D181" s="1"/>
      <c r="G181" s="52">
        <v>0.27</v>
      </c>
      <c r="H181" s="61">
        <v>0</v>
      </c>
      <c r="I181" s="21">
        <v>0</v>
      </c>
      <c r="J181" s="239">
        <v>0</v>
      </c>
      <c r="K181" s="61">
        <v>0</v>
      </c>
      <c r="L181" s="61">
        <v>0</v>
      </c>
      <c r="M181" s="61">
        <v>0</v>
      </c>
      <c r="N181" s="21">
        <v>0</v>
      </c>
      <c r="O181" s="239">
        <v>0</v>
      </c>
      <c r="P181" s="21">
        <v>0</v>
      </c>
      <c r="Q181" s="21">
        <v>0.14000000000000001</v>
      </c>
      <c r="R181" s="249">
        <v>0</v>
      </c>
    </row>
    <row r="182" spans="2:18" x14ac:dyDescent="0.5">
      <c r="B182" s="14"/>
      <c r="C182" s="1"/>
      <c r="D182" s="1"/>
      <c r="G182" s="52"/>
      <c r="H182" s="61"/>
      <c r="I182" s="21"/>
      <c r="J182" s="239"/>
      <c r="K182" s="61"/>
      <c r="L182" s="61"/>
      <c r="M182" s="61"/>
      <c r="N182" s="21"/>
      <c r="O182" s="239"/>
      <c r="P182" s="21"/>
      <c r="Q182" s="21"/>
      <c r="R182" s="249"/>
    </row>
    <row r="183" spans="2:18" x14ac:dyDescent="0.5">
      <c r="B183" s="86" t="s">
        <v>4</v>
      </c>
      <c r="C183" s="9"/>
      <c r="D183" s="9"/>
      <c r="E183" s="9"/>
      <c r="F183" s="9"/>
      <c r="G183" s="51"/>
      <c r="H183" s="62"/>
      <c r="I183" s="22"/>
      <c r="J183" s="240"/>
      <c r="K183" s="62"/>
      <c r="L183" s="62"/>
      <c r="M183" s="62"/>
      <c r="N183" s="22"/>
      <c r="O183" s="240"/>
      <c r="P183" s="22"/>
      <c r="Q183" s="22"/>
      <c r="R183" s="250"/>
    </row>
    <row r="184" spans="2:18" x14ac:dyDescent="0.5">
      <c r="B184" s="14" t="s">
        <v>20</v>
      </c>
      <c r="C184" s="1"/>
      <c r="D184" s="1"/>
      <c r="E184" s="2"/>
      <c r="F184" s="2"/>
      <c r="G184" s="52">
        <v>0.27</v>
      </c>
      <c r="H184" s="61">
        <v>0.27</v>
      </c>
      <c r="I184" s="21">
        <v>0</v>
      </c>
      <c r="J184" s="239">
        <v>0.27</v>
      </c>
      <c r="K184" s="61">
        <v>0</v>
      </c>
      <c r="L184" s="61">
        <v>0</v>
      </c>
      <c r="M184" s="61">
        <v>0</v>
      </c>
      <c r="N184" s="21">
        <v>0</v>
      </c>
      <c r="O184" s="239">
        <v>0</v>
      </c>
      <c r="P184" s="21">
        <v>0</v>
      </c>
      <c r="Q184" s="21">
        <v>0</v>
      </c>
      <c r="R184" s="249">
        <v>0</v>
      </c>
    </row>
    <row r="185" spans="2:18" x14ac:dyDescent="0.5">
      <c r="B185" s="14" t="s">
        <v>11</v>
      </c>
      <c r="C185" s="1"/>
      <c r="D185" s="1"/>
      <c r="E185" s="2"/>
      <c r="F185" s="2"/>
      <c r="G185" s="52">
        <v>0.27</v>
      </c>
      <c r="H185" s="61">
        <v>0</v>
      </c>
      <c r="I185" s="21">
        <v>0</v>
      </c>
      <c r="J185" s="239">
        <v>0</v>
      </c>
      <c r="K185" s="61">
        <v>0.19</v>
      </c>
      <c r="L185" s="61">
        <v>0.19</v>
      </c>
      <c r="M185" s="61">
        <v>0.19</v>
      </c>
      <c r="N185" s="21">
        <v>0</v>
      </c>
      <c r="O185" s="239">
        <v>0</v>
      </c>
      <c r="P185" s="21">
        <v>0</v>
      </c>
      <c r="Q185" s="21">
        <v>0</v>
      </c>
      <c r="R185" s="249">
        <v>0</v>
      </c>
    </row>
    <row r="186" spans="2:18" ht="14.7" thickBot="1" x14ac:dyDescent="0.55000000000000004">
      <c r="B186" s="38" t="s">
        <v>55</v>
      </c>
      <c r="C186" s="16"/>
      <c r="D186" s="16"/>
      <c r="E186" s="15"/>
      <c r="F186" s="15"/>
      <c r="G186" s="63">
        <v>0</v>
      </c>
      <c r="H186" s="23">
        <v>0.27</v>
      </c>
      <c r="I186" s="23">
        <v>0</v>
      </c>
      <c r="J186" s="241">
        <v>0</v>
      </c>
      <c r="K186" s="23">
        <v>0</v>
      </c>
      <c r="L186" s="23">
        <v>0</v>
      </c>
      <c r="M186" s="23">
        <v>0</v>
      </c>
      <c r="N186" s="23">
        <v>0</v>
      </c>
      <c r="O186" s="241">
        <v>0</v>
      </c>
      <c r="P186" s="23">
        <v>0</v>
      </c>
      <c r="Q186" s="23">
        <v>0</v>
      </c>
      <c r="R186" s="251">
        <v>0</v>
      </c>
    </row>
  </sheetData>
  <mergeCells count="2">
    <mergeCell ref="K9:O9"/>
    <mergeCell ref="P9:R9"/>
  </mergeCells>
  <dataValidations count="1">
    <dataValidation type="list" allowBlank="1" showInputMessage="1" showErrorMessage="1" sqref="L4" xr:uid="{00000000-0002-0000-0900-000000000000}">
      <formula1>"1,2,3"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AR186"/>
  <sheetViews>
    <sheetView showGridLines="0" workbookViewId="0">
      <pane ySplit="11" topLeftCell="A15" activePane="bottomLeft" state="frozen"/>
      <selection activeCell="N89" sqref="N89"/>
      <selection pane="bottomLeft" activeCell="G38" sqref="G38"/>
    </sheetView>
  </sheetViews>
  <sheetFormatPr defaultColWidth="0" defaultRowHeight="14.35" outlineLevelRow="1" x14ac:dyDescent="0.5"/>
  <cols>
    <col min="1" max="2" width="2.3515625" style="1" customWidth="1"/>
    <col min="3" max="3" width="2.3515625" style="76" customWidth="1"/>
    <col min="4" max="4" width="11.41015625" style="76" customWidth="1"/>
    <col min="5" max="6" width="11.41015625" style="1" customWidth="1"/>
    <col min="7" max="18" width="11.41015625" style="18" customWidth="1"/>
    <col min="19" max="19" width="2.3515625" style="1" customWidth="1"/>
    <col min="20" max="44" width="0" style="1" hidden="1" customWidth="1"/>
    <col min="45" max="16384" width="10.64453125" style="1" hidden="1"/>
  </cols>
  <sheetData>
    <row r="1" spans="1:19" s="4" customFormat="1" ht="18" x14ac:dyDescent="0.6">
      <c r="A1" s="5" t="s">
        <v>89</v>
      </c>
      <c r="G1" s="17"/>
      <c r="H1" s="17"/>
      <c r="I1" s="17"/>
      <c r="J1" s="17"/>
      <c r="K1" s="17"/>
      <c r="L1" s="17"/>
      <c r="M1" s="17"/>
      <c r="N1" s="17"/>
      <c r="O1" s="17"/>
      <c r="P1" s="17"/>
      <c r="R1" s="17"/>
      <c r="S1" s="33"/>
    </row>
    <row r="3" spans="1:19" ht="14.7" thickBot="1" x14ac:dyDescent="0.55000000000000004">
      <c r="B3" s="278" t="s">
        <v>27</v>
      </c>
      <c r="C3" s="279"/>
      <c r="D3" s="279"/>
      <c r="E3" s="259"/>
      <c r="F3" s="259"/>
      <c r="G3" s="280"/>
      <c r="H3" s="280"/>
      <c r="I3" s="280"/>
      <c r="J3" s="280"/>
      <c r="K3" s="280"/>
      <c r="L3" s="280"/>
      <c r="M3" s="280"/>
      <c r="N3" s="280"/>
      <c r="O3" s="280"/>
      <c r="P3" s="282"/>
    </row>
    <row r="4" spans="1:19" ht="15" thickTop="1" thickBot="1" x14ac:dyDescent="0.55000000000000004">
      <c r="B4" s="267"/>
      <c r="C4" s="78" t="s">
        <v>180</v>
      </c>
      <c r="D4" s="78"/>
      <c r="E4" s="64"/>
      <c r="F4" s="64"/>
      <c r="G4" s="268"/>
      <c r="H4" s="268"/>
      <c r="I4" s="268"/>
      <c r="J4" s="268"/>
      <c r="L4" s="32">
        <v>2</v>
      </c>
      <c r="M4" s="269" t="str">
        <f>+"Currently Selected: "&amp;CHOOSE($L$4,B57,B101,B145)</f>
        <v>Currently Selected: Technically Compostable in NYC</v>
      </c>
      <c r="P4" s="270"/>
    </row>
    <row r="5" spans="1:19" s="55" customFormat="1" ht="3" customHeight="1" thickTop="1" x14ac:dyDescent="0.5">
      <c r="B5" s="271"/>
      <c r="C5" s="272"/>
      <c r="D5" s="272"/>
      <c r="E5" s="273"/>
      <c r="F5" s="273"/>
      <c r="G5" s="274"/>
      <c r="H5" s="274"/>
      <c r="I5" s="274"/>
      <c r="J5" s="274"/>
      <c r="K5" s="275"/>
      <c r="L5" s="276"/>
      <c r="M5" s="274"/>
      <c r="N5" s="277"/>
      <c r="O5" s="274"/>
      <c r="P5" s="277"/>
      <c r="Q5" s="264"/>
      <c r="R5" s="264"/>
    </row>
    <row r="6" spans="1:19" ht="7.1" customHeight="1" x14ac:dyDescent="0.5"/>
    <row r="7" spans="1:19" x14ac:dyDescent="0.5">
      <c r="B7" s="6" t="s">
        <v>92</v>
      </c>
    </row>
    <row r="8" spans="1:19" ht="7.1" customHeight="1" thickBot="1" x14ac:dyDescent="0.55000000000000004"/>
    <row r="9" spans="1:19" ht="15.7" x14ac:dyDescent="0.55000000000000004">
      <c r="B9" s="205"/>
      <c r="C9" s="198"/>
      <c r="D9" s="198"/>
      <c r="E9" s="197"/>
      <c r="F9" s="66"/>
      <c r="G9" s="209" t="s">
        <v>73</v>
      </c>
      <c r="H9" s="210"/>
      <c r="I9" s="210"/>
      <c r="J9" s="210"/>
      <c r="K9" s="377" t="s">
        <v>72</v>
      </c>
      <c r="L9" s="378"/>
      <c r="M9" s="378"/>
      <c r="N9" s="378"/>
      <c r="O9" s="379"/>
      <c r="P9" s="380" t="s">
        <v>4</v>
      </c>
      <c r="Q9" s="381"/>
      <c r="R9" s="384"/>
    </row>
    <row r="10" spans="1:19" s="65" customFormat="1" ht="15.7" x14ac:dyDescent="0.55000000000000004">
      <c r="B10" s="199"/>
      <c r="C10" s="200"/>
      <c r="D10" s="200"/>
      <c r="E10" s="201"/>
      <c r="F10" s="201"/>
      <c r="G10" s="202" t="s">
        <v>69</v>
      </c>
      <c r="H10" s="59" t="s">
        <v>70</v>
      </c>
      <c r="I10" s="59" t="s">
        <v>61</v>
      </c>
      <c r="J10" s="59" t="s">
        <v>182</v>
      </c>
      <c r="K10" s="202"/>
      <c r="L10" s="59"/>
      <c r="M10" s="59"/>
      <c r="N10" s="59" t="s">
        <v>26</v>
      </c>
      <c r="O10" s="242" t="s">
        <v>71</v>
      </c>
      <c r="P10" s="59"/>
      <c r="Q10" s="59"/>
      <c r="R10" s="255"/>
    </row>
    <row r="11" spans="1:19" s="65" customFormat="1" ht="16" thickBot="1" x14ac:dyDescent="0.6">
      <c r="B11" s="67"/>
      <c r="C11" s="68"/>
      <c r="D11" s="68"/>
      <c r="E11" s="68"/>
      <c r="F11" s="68"/>
      <c r="G11" s="58" t="s">
        <v>0</v>
      </c>
      <c r="H11" s="29" t="s">
        <v>0</v>
      </c>
      <c r="I11" s="29" t="s">
        <v>62</v>
      </c>
      <c r="J11" s="29" t="s">
        <v>62</v>
      </c>
      <c r="K11" s="58" t="s">
        <v>41</v>
      </c>
      <c r="L11" s="29" t="s">
        <v>42</v>
      </c>
      <c r="M11" s="29" t="s">
        <v>43</v>
      </c>
      <c r="N11" s="29" t="s">
        <v>40</v>
      </c>
      <c r="O11" s="243" t="s">
        <v>183</v>
      </c>
      <c r="P11" s="29" t="s">
        <v>2</v>
      </c>
      <c r="Q11" s="29" t="s">
        <v>1</v>
      </c>
      <c r="R11" s="256" t="s">
        <v>3</v>
      </c>
    </row>
    <row r="12" spans="1:19" s="64" customFormat="1" ht="4.0999999999999996" customHeight="1" thickBot="1" x14ac:dyDescent="0.6">
      <c r="G12" s="59"/>
      <c r="H12" s="59"/>
      <c r="I12" s="59"/>
      <c r="J12" s="59"/>
      <c r="K12" s="59"/>
      <c r="L12" s="59"/>
      <c r="M12" s="59"/>
      <c r="N12" s="59"/>
      <c r="O12" s="59"/>
      <c r="P12" s="59"/>
      <c r="Q12" s="59"/>
      <c r="R12" s="59"/>
    </row>
    <row r="13" spans="1:19" ht="14.7" thickBot="1" x14ac:dyDescent="0.55000000000000004">
      <c r="B13" s="124" t="s">
        <v>30</v>
      </c>
      <c r="C13" s="125"/>
      <c r="D13" s="125"/>
      <c r="E13" s="126"/>
      <c r="F13" s="126"/>
      <c r="G13" s="127"/>
      <c r="H13" s="237"/>
      <c r="I13" s="128"/>
      <c r="J13" s="128"/>
      <c r="K13" s="128"/>
      <c r="L13" s="128"/>
      <c r="M13" s="128"/>
      <c r="N13" s="128"/>
      <c r="O13" s="237"/>
      <c r="P13" s="128"/>
      <c r="Q13" s="128"/>
      <c r="R13" s="247"/>
    </row>
    <row r="14" spans="1:19" outlineLevel="1" x14ac:dyDescent="0.5">
      <c r="B14" s="84" t="s">
        <v>21</v>
      </c>
      <c r="C14" s="77"/>
      <c r="D14" s="77"/>
      <c r="E14" s="9"/>
      <c r="F14" s="9"/>
      <c r="G14" s="50"/>
      <c r="H14" s="60"/>
      <c r="I14" s="60"/>
      <c r="J14" s="238"/>
      <c r="K14" s="60"/>
      <c r="L14" s="60"/>
      <c r="M14" s="60"/>
      <c r="N14" s="20"/>
      <c r="O14" s="238"/>
      <c r="P14" s="20"/>
      <c r="Q14" s="20"/>
      <c r="R14" s="248"/>
    </row>
    <row r="15" spans="1:19" outlineLevel="1" x14ac:dyDescent="0.5">
      <c r="B15" s="14" t="s">
        <v>59</v>
      </c>
      <c r="C15" s="1"/>
      <c r="D15" s="1"/>
      <c r="G15" s="52"/>
      <c r="H15" s="61"/>
      <c r="I15" s="61"/>
      <c r="J15" s="239"/>
      <c r="K15" s="61"/>
      <c r="L15" s="61"/>
      <c r="M15" s="61"/>
      <c r="N15" s="21"/>
      <c r="O15" s="239"/>
      <c r="P15" s="21"/>
      <c r="Q15" s="21"/>
      <c r="R15" s="249"/>
    </row>
    <row r="16" spans="1:19" outlineLevel="1" x14ac:dyDescent="0.5">
      <c r="B16" s="14"/>
      <c r="C16" s="2" t="s">
        <v>52</v>
      </c>
      <c r="D16" s="1"/>
      <c r="G16" s="52">
        <f t="shared" ref="G16:R16" si="0">CHOOSE($L$4,G60,G104,G148)</f>
        <v>1</v>
      </c>
      <c r="H16" s="61">
        <f t="shared" si="0"/>
        <v>1</v>
      </c>
      <c r="I16" s="21">
        <f t="shared" si="0"/>
        <v>0</v>
      </c>
      <c r="J16" s="239">
        <f t="shared" si="0"/>
        <v>0</v>
      </c>
      <c r="K16" s="61">
        <f t="shared" si="0"/>
        <v>0</v>
      </c>
      <c r="L16" s="61">
        <f t="shared" si="0"/>
        <v>0</v>
      </c>
      <c r="M16" s="61">
        <f t="shared" si="0"/>
        <v>0</v>
      </c>
      <c r="N16" s="21">
        <f t="shared" si="0"/>
        <v>0</v>
      </c>
      <c r="O16" s="239">
        <f t="shared" si="0"/>
        <v>0</v>
      </c>
      <c r="P16" s="21">
        <f t="shared" si="0"/>
        <v>0</v>
      </c>
      <c r="Q16" s="21">
        <f t="shared" si="0"/>
        <v>0</v>
      </c>
      <c r="R16" s="249">
        <f t="shared" si="0"/>
        <v>0</v>
      </c>
    </row>
    <row r="17" spans="1:19" outlineLevel="1" x14ac:dyDescent="0.5">
      <c r="B17" s="85"/>
      <c r="C17" s="2" t="s">
        <v>4</v>
      </c>
      <c r="D17" s="1"/>
      <c r="G17" s="52">
        <f t="shared" ref="G17:R17" si="1">CHOOSE($L$4,G61,G105,G149)</f>
        <v>0.5</v>
      </c>
      <c r="H17" s="61">
        <f t="shared" si="1"/>
        <v>0</v>
      </c>
      <c r="I17" s="21">
        <f t="shared" si="1"/>
        <v>0</v>
      </c>
      <c r="J17" s="239">
        <f t="shared" si="1"/>
        <v>0</v>
      </c>
      <c r="K17" s="61">
        <f t="shared" si="1"/>
        <v>0</v>
      </c>
      <c r="L17" s="61">
        <f t="shared" si="1"/>
        <v>0</v>
      </c>
      <c r="M17" s="61">
        <f t="shared" si="1"/>
        <v>0</v>
      </c>
      <c r="N17" s="21">
        <f t="shared" si="1"/>
        <v>0</v>
      </c>
      <c r="O17" s="239">
        <f t="shared" si="1"/>
        <v>0</v>
      </c>
      <c r="P17" s="21">
        <f t="shared" si="1"/>
        <v>0</v>
      </c>
      <c r="Q17" s="21">
        <f t="shared" si="1"/>
        <v>0</v>
      </c>
      <c r="R17" s="249">
        <f t="shared" si="1"/>
        <v>0</v>
      </c>
    </row>
    <row r="18" spans="1:19" outlineLevel="1" x14ac:dyDescent="0.5">
      <c r="B18" s="14" t="s">
        <v>5</v>
      </c>
      <c r="C18" s="1"/>
      <c r="D18" s="1"/>
      <c r="E18" s="2"/>
      <c r="F18" s="2"/>
      <c r="G18" s="52">
        <f t="shared" ref="G18:R18" si="2">CHOOSE($L$4,G62,G106,G150)</f>
        <v>0.5</v>
      </c>
      <c r="H18" s="61">
        <f t="shared" si="2"/>
        <v>1</v>
      </c>
      <c r="I18" s="21">
        <f t="shared" si="2"/>
        <v>1</v>
      </c>
      <c r="J18" s="239">
        <f t="shared" si="2"/>
        <v>1</v>
      </c>
      <c r="K18" s="61">
        <f t="shared" si="2"/>
        <v>0</v>
      </c>
      <c r="L18" s="61">
        <f t="shared" si="2"/>
        <v>0</v>
      </c>
      <c r="M18" s="61">
        <f t="shared" si="2"/>
        <v>0</v>
      </c>
      <c r="N18" s="21">
        <f t="shared" si="2"/>
        <v>0</v>
      </c>
      <c r="O18" s="239">
        <f t="shared" si="2"/>
        <v>0</v>
      </c>
      <c r="P18" s="21">
        <f t="shared" si="2"/>
        <v>1</v>
      </c>
      <c r="Q18" s="21">
        <f t="shared" si="2"/>
        <v>0</v>
      </c>
      <c r="R18" s="249">
        <f t="shared" si="2"/>
        <v>0</v>
      </c>
    </row>
    <row r="19" spans="1:19" outlineLevel="1" x14ac:dyDescent="0.5">
      <c r="B19" s="14" t="s">
        <v>6</v>
      </c>
      <c r="C19" s="1"/>
      <c r="D19" s="1"/>
      <c r="G19" s="52">
        <f t="shared" ref="G19:R19" si="3">CHOOSE($L$4,G63,G107,G151)</f>
        <v>0.5</v>
      </c>
      <c r="H19" s="61">
        <f t="shared" si="3"/>
        <v>0</v>
      </c>
      <c r="I19" s="21">
        <f t="shared" si="3"/>
        <v>1</v>
      </c>
      <c r="J19" s="239">
        <f t="shared" si="3"/>
        <v>1</v>
      </c>
      <c r="K19" s="61">
        <f t="shared" si="3"/>
        <v>0</v>
      </c>
      <c r="L19" s="61">
        <f t="shared" si="3"/>
        <v>0</v>
      </c>
      <c r="M19" s="61">
        <f t="shared" si="3"/>
        <v>0</v>
      </c>
      <c r="N19" s="21">
        <f t="shared" si="3"/>
        <v>0</v>
      </c>
      <c r="O19" s="239">
        <f t="shared" si="3"/>
        <v>0</v>
      </c>
      <c r="P19" s="21">
        <f t="shared" si="3"/>
        <v>0</v>
      </c>
      <c r="Q19" s="21">
        <f t="shared" si="3"/>
        <v>0</v>
      </c>
      <c r="R19" s="249">
        <f t="shared" si="3"/>
        <v>0</v>
      </c>
    </row>
    <row r="20" spans="1:19" ht="7.1" customHeight="1" outlineLevel="1" x14ac:dyDescent="0.5">
      <c r="B20" s="85"/>
      <c r="C20" s="1"/>
      <c r="D20" s="1"/>
      <c r="G20" s="52"/>
      <c r="H20" s="61"/>
      <c r="I20" s="21"/>
      <c r="J20" s="239"/>
      <c r="K20" s="61"/>
      <c r="L20" s="61"/>
      <c r="M20" s="61"/>
      <c r="N20" s="21"/>
      <c r="O20" s="239"/>
      <c r="P20" s="21"/>
      <c r="Q20" s="21"/>
      <c r="R20" s="249"/>
    </row>
    <row r="21" spans="1:19" s="9" customFormat="1" outlineLevel="1" x14ac:dyDescent="0.5">
      <c r="A21" s="1"/>
      <c r="B21" s="86" t="s">
        <v>22</v>
      </c>
      <c r="G21" s="51"/>
      <c r="H21" s="62"/>
      <c r="I21" s="22"/>
      <c r="J21" s="240"/>
      <c r="K21" s="62"/>
      <c r="L21" s="62"/>
      <c r="M21" s="62"/>
      <c r="N21" s="22"/>
      <c r="O21" s="240"/>
      <c r="P21" s="22"/>
      <c r="Q21" s="22"/>
      <c r="R21" s="250"/>
      <c r="S21" s="1"/>
    </row>
    <row r="22" spans="1:19" outlineLevel="1" x14ac:dyDescent="0.5">
      <c r="B22" s="14" t="s">
        <v>53</v>
      </c>
      <c r="C22" s="1"/>
      <c r="D22" s="1"/>
      <c r="G22" s="52"/>
      <c r="H22" s="61"/>
      <c r="I22" s="21"/>
      <c r="J22" s="239"/>
      <c r="K22" s="61"/>
      <c r="L22" s="61"/>
      <c r="M22" s="61"/>
      <c r="N22" s="21"/>
      <c r="O22" s="239"/>
      <c r="P22" s="21"/>
      <c r="Q22" s="21"/>
      <c r="R22" s="249"/>
    </row>
    <row r="23" spans="1:19" outlineLevel="1" x14ac:dyDescent="0.5">
      <c r="B23" s="14"/>
      <c r="C23" s="2" t="s">
        <v>47</v>
      </c>
      <c r="D23" s="1"/>
      <c r="G23" s="52">
        <f t="shared" ref="G23:R23" si="4">CHOOSE($L$4,G67,G111,G155)</f>
        <v>0</v>
      </c>
      <c r="H23" s="61">
        <f t="shared" si="4"/>
        <v>0</v>
      </c>
      <c r="I23" s="21">
        <f t="shared" si="4"/>
        <v>0</v>
      </c>
      <c r="J23" s="239">
        <f t="shared" si="4"/>
        <v>0</v>
      </c>
      <c r="K23" s="61">
        <f t="shared" si="4"/>
        <v>0</v>
      </c>
      <c r="L23" s="61">
        <f t="shared" si="4"/>
        <v>0</v>
      </c>
      <c r="M23" s="61">
        <f t="shared" si="4"/>
        <v>0</v>
      </c>
      <c r="N23" s="21">
        <f t="shared" si="4"/>
        <v>0</v>
      </c>
      <c r="O23" s="239">
        <f t="shared" si="4"/>
        <v>0</v>
      </c>
      <c r="P23" s="21">
        <f t="shared" si="4"/>
        <v>1</v>
      </c>
      <c r="Q23" s="21">
        <f t="shared" si="4"/>
        <v>0</v>
      </c>
      <c r="R23" s="249">
        <f t="shared" si="4"/>
        <v>1</v>
      </c>
    </row>
    <row r="24" spans="1:19" outlineLevel="1" x14ac:dyDescent="0.5">
      <c r="B24" s="85"/>
      <c r="C24" s="2" t="s">
        <v>48</v>
      </c>
      <c r="D24" s="1"/>
      <c r="E24" s="2"/>
      <c r="F24" s="2"/>
      <c r="G24" s="52">
        <f t="shared" ref="G24:R24" si="5">CHOOSE($L$4,G68,G112,G156)</f>
        <v>0</v>
      </c>
      <c r="H24" s="61">
        <f t="shared" si="5"/>
        <v>0</v>
      </c>
      <c r="I24" s="21">
        <f t="shared" si="5"/>
        <v>0</v>
      </c>
      <c r="J24" s="239">
        <f t="shared" si="5"/>
        <v>0</v>
      </c>
      <c r="K24" s="61">
        <f t="shared" si="5"/>
        <v>0</v>
      </c>
      <c r="L24" s="61">
        <f t="shared" si="5"/>
        <v>0</v>
      </c>
      <c r="M24" s="61">
        <f t="shared" si="5"/>
        <v>0</v>
      </c>
      <c r="N24" s="21">
        <f t="shared" si="5"/>
        <v>0</v>
      </c>
      <c r="O24" s="239">
        <f t="shared" si="5"/>
        <v>0</v>
      </c>
      <c r="P24" s="21">
        <f t="shared" si="5"/>
        <v>1</v>
      </c>
      <c r="Q24" s="21">
        <f t="shared" si="5"/>
        <v>0</v>
      </c>
      <c r="R24" s="249">
        <f t="shared" si="5"/>
        <v>1</v>
      </c>
    </row>
    <row r="25" spans="1:19" outlineLevel="1" x14ac:dyDescent="0.5">
      <c r="B25" s="14" t="s">
        <v>46</v>
      </c>
      <c r="C25" s="2"/>
      <c r="D25" s="1"/>
      <c r="E25" s="2"/>
      <c r="F25" s="2"/>
      <c r="G25" s="52">
        <f t="shared" ref="G25:R25" si="6">CHOOSE($L$4,G69,G113,G157)</f>
        <v>0</v>
      </c>
      <c r="H25" s="61">
        <f t="shared" si="6"/>
        <v>0</v>
      </c>
      <c r="I25" s="21">
        <f t="shared" si="6"/>
        <v>0</v>
      </c>
      <c r="J25" s="239">
        <f t="shared" si="6"/>
        <v>0</v>
      </c>
      <c r="K25" s="61">
        <f t="shared" si="6"/>
        <v>0</v>
      </c>
      <c r="L25" s="61">
        <f t="shared" si="6"/>
        <v>0</v>
      </c>
      <c r="M25" s="61">
        <f t="shared" si="6"/>
        <v>0</v>
      </c>
      <c r="N25" s="21">
        <f t="shared" si="6"/>
        <v>0</v>
      </c>
      <c r="O25" s="239">
        <f t="shared" si="6"/>
        <v>0</v>
      </c>
      <c r="P25" s="21">
        <f t="shared" si="6"/>
        <v>1</v>
      </c>
      <c r="Q25" s="21">
        <f t="shared" si="6"/>
        <v>0</v>
      </c>
      <c r="R25" s="249">
        <f t="shared" si="6"/>
        <v>1</v>
      </c>
    </row>
    <row r="26" spans="1:19" outlineLevel="1" x14ac:dyDescent="0.5">
      <c r="B26" s="14" t="s">
        <v>8</v>
      </c>
      <c r="C26" s="1"/>
      <c r="D26" s="1"/>
      <c r="E26" s="2"/>
      <c r="F26" s="2"/>
      <c r="G26" s="52">
        <f t="shared" ref="G26:R26" si="7">CHOOSE($L$4,G70,G114,G158)</f>
        <v>0</v>
      </c>
      <c r="H26" s="61">
        <f t="shared" si="7"/>
        <v>0</v>
      </c>
      <c r="I26" s="21">
        <f t="shared" si="7"/>
        <v>1</v>
      </c>
      <c r="J26" s="239">
        <f t="shared" si="7"/>
        <v>0</v>
      </c>
      <c r="K26" s="61">
        <f t="shared" si="7"/>
        <v>0</v>
      </c>
      <c r="L26" s="61">
        <f t="shared" si="7"/>
        <v>0</v>
      </c>
      <c r="M26" s="61">
        <f t="shared" si="7"/>
        <v>0</v>
      </c>
      <c r="N26" s="21">
        <f t="shared" si="7"/>
        <v>0</v>
      </c>
      <c r="O26" s="239">
        <f t="shared" si="7"/>
        <v>0</v>
      </c>
      <c r="P26" s="21">
        <f t="shared" si="7"/>
        <v>1</v>
      </c>
      <c r="Q26" s="21">
        <f t="shared" si="7"/>
        <v>0</v>
      </c>
      <c r="R26" s="249">
        <f t="shared" si="7"/>
        <v>1</v>
      </c>
    </row>
    <row r="27" spans="1:19" ht="7.1" customHeight="1" outlineLevel="1" x14ac:dyDescent="0.5">
      <c r="B27" s="85"/>
      <c r="C27" s="1"/>
      <c r="D27" s="1"/>
      <c r="E27" s="2"/>
      <c r="F27" s="2"/>
      <c r="G27" s="52"/>
      <c r="H27" s="61"/>
      <c r="I27" s="21"/>
      <c r="J27" s="239"/>
      <c r="K27" s="61"/>
      <c r="L27" s="61"/>
      <c r="M27" s="61"/>
      <c r="N27" s="21"/>
      <c r="O27" s="239"/>
      <c r="P27" s="21"/>
      <c r="Q27" s="21"/>
      <c r="R27" s="249"/>
    </row>
    <row r="28" spans="1:19" s="9" customFormat="1" outlineLevel="1" x14ac:dyDescent="0.5">
      <c r="A28" s="1"/>
      <c r="B28" s="84" t="s">
        <v>23</v>
      </c>
      <c r="G28" s="51"/>
      <c r="H28" s="62"/>
      <c r="I28" s="22"/>
      <c r="J28" s="240"/>
      <c r="K28" s="62"/>
      <c r="L28" s="62"/>
      <c r="M28" s="62"/>
      <c r="N28" s="22"/>
      <c r="O28" s="240"/>
      <c r="P28" s="22"/>
      <c r="Q28" s="22"/>
      <c r="R28" s="250"/>
      <c r="S28" s="1"/>
    </row>
    <row r="29" spans="1:19" outlineLevel="1" x14ac:dyDescent="0.5">
      <c r="B29" s="14" t="s">
        <v>45</v>
      </c>
      <c r="C29" s="1"/>
      <c r="D29" s="1"/>
      <c r="E29" s="2"/>
      <c r="F29" s="2"/>
      <c r="G29" s="52">
        <f t="shared" ref="G29:R29" si="8">CHOOSE($L$4,G73,G117,G161)</f>
        <v>0</v>
      </c>
      <c r="H29" s="61">
        <f t="shared" si="8"/>
        <v>1</v>
      </c>
      <c r="I29" s="21">
        <f t="shared" si="8"/>
        <v>0</v>
      </c>
      <c r="J29" s="239">
        <f t="shared" si="8"/>
        <v>0</v>
      </c>
      <c r="K29" s="61">
        <f t="shared" si="8"/>
        <v>0</v>
      </c>
      <c r="L29" s="61">
        <f t="shared" si="8"/>
        <v>0</v>
      </c>
      <c r="M29" s="61">
        <f t="shared" si="8"/>
        <v>0</v>
      </c>
      <c r="N29" s="21">
        <f t="shared" si="8"/>
        <v>0</v>
      </c>
      <c r="O29" s="239">
        <f t="shared" si="8"/>
        <v>0</v>
      </c>
      <c r="P29" s="21">
        <f t="shared" si="8"/>
        <v>0</v>
      </c>
      <c r="Q29" s="21">
        <f t="shared" si="8"/>
        <v>0</v>
      </c>
      <c r="R29" s="249">
        <f t="shared" si="8"/>
        <v>0</v>
      </c>
    </row>
    <row r="30" spans="1:19" outlineLevel="1" x14ac:dyDescent="0.5">
      <c r="B30" s="14" t="s">
        <v>9</v>
      </c>
      <c r="C30" s="1"/>
      <c r="D30" s="1"/>
      <c r="E30" s="2"/>
      <c r="F30" s="2"/>
      <c r="G30" s="52">
        <f t="shared" ref="G30:R30" si="9">CHOOSE($L$4,G74,G118,G162)</f>
        <v>0.5</v>
      </c>
      <c r="H30" s="61">
        <f t="shared" si="9"/>
        <v>0</v>
      </c>
      <c r="I30" s="21">
        <f t="shared" si="9"/>
        <v>0</v>
      </c>
      <c r="J30" s="239">
        <f t="shared" si="9"/>
        <v>0</v>
      </c>
      <c r="K30" s="61">
        <f t="shared" si="9"/>
        <v>0</v>
      </c>
      <c r="L30" s="61">
        <f t="shared" si="9"/>
        <v>0</v>
      </c>
      <c r="M30" s="61">
        <f t="shared" si="9"/>
        <v>0</v>
      </c>
      <c r="N30" s="21">
        <f t="shared" si="9"/>
        <v>0</v>
      </c>
      <c r="O30" s="239">
        <f t="shared" si="9"/>
        <v>0</v>
      </c>
      <c r="P30" s="21">
        <f t="shared" si="9"/>
        <v>0</v>
      </c>
      <c r="Q30" s="21">
        <f t="shared" si="9"/>
        <v>0</v>
      </c>
      <c r="R30" s="249">
        <f t="shared" si="9"/>
        <v>0</v>
      </c>
    </row>
    <row r="31" spans="1:19" ht="7.1" customHeight="1" outlineLevel="1" x14ac:dyDescent="0.5">
      <c r="B31" s="85"/>
      <c r="C31" s="1"/>
      <c r="D31" s="1"/>
      <c r="G31" s="52"/>
      <c r="H31" s="61"/>
      <c r="I31" s="21"/>
      <c r="J31" s="239"/>
      <c r="K31" s="61"/>
      <c r="L31" s="61"/>
      <c r="M31" s="61"/>
      <c r="N31" s="21"/>
      <c r="O31" s="239"/>
      <c r="P31" s="21"/>
      <c r="Q31" s="21"/>
      <c r="R31" s="249"/>
    </row>
    <row r="32" spans="1:19" s="9" customFormat="1" outlineLevel="1" x14ac:dyDescent="0.5">
      <c r="A32" s="1"/>
      <c r="B32" s="84" t="s">
        <v>10</v>
      </c>
      <c r="G32" s="51"/>
      <c r="H32" s="62"/>
      <c r="I32" s="22"/>
      <c r="J32" s="240"/>
      <c r="K32" s="62"/>
      <c r="L32" s="62"/>
      <c r="M32" s="62"/>
      <c r="N32" s="22"/>
      <c r="O32" s="240"/>
      <c r="P32" s="22"/>
      <c r="Q32" s="22"/>
      <c r="R32" s="250"/>
      <c r="S32" s="1"/>
    </row>
    <row r="33" spans="1:19" outlineLevel="1" x14ac:dyDescent="0.5">
      <c r="B33" s="14" t="s">
        <v>49</v>
      </c>
      <c r="D33" s="1"/>
      <c r="G33" s="52">
        <f t="shared" ref="G33:R33" si="10">CHOOSE($L$4,G77,G121,G165)</f>
        <v>0.5</v>
      </c>
      <c r="H33" s="61">
        <f t="shared" si="10"/>
        <v>0</v>
      </c>
      <c r="I33" s="21">
        <f t="shared" si="10"/>
        <v>0</v>
      </c>
      <c r="J33" s="239">
        <f t="shared" si="10"/>
        <v>0</v>
      </c>
      <c r="K33" s="61">
        <f t="shared" si="10"/>
        <v>0</v>
      </c>
      <c r="L33" s="61">
        <f t="shared" si="10"/>
        <v>0</v>
      </c>
      <c r="M33" s="61">
        <f t="shared" si="10"/>
        <v>0</v>
      </c>
      <c r="N33" s="21">
        <f t="shared" si="10"/>
        <v>0</v>
      </c>
      <c r="O33" s="239">
        <f t="shared" si="10"/>
        <v>0</v>
      </c>
      <c r="P33" s="21">
        <f t="shared" si="10"/>
        <v>1</v>
      </c>
      <c r="Q33" s="21">
        <f t="shared" si="10"/>
        <v>0</v>
      </c>
      <c r="R33" s="249">
        <f t="shared" si="10"/>
        <v>0</v>
      </c>
    </row>
    <row r="34" spans="1:19" outlineLevel="1" x14ac:dyDescent="0.5">
      <c r="B34" s="14" t="s">
        <v>50</v>
      </c>
      <c r="D34" s="1"/>
      <c r="G34" s="52">
        <f t="shared" ref="G34:R34" si="11">CHOOSE($L$4,G78,G122,G166)</f>
        <v>0.5</v>
      </c>
      <c r="H34" s="61">
        <f t="shared" si="11"/>
        <v>0</v>
      </c>
      <c r="I34" s="21">
        <f t="shared" si="11"/>
        <v>0</v>
      </c>
      <c r="J34" s="239">
        <f t="shared" si="11"/>
        <v>0</v>
      </c>
      <c r="K34" s="61">
        <f t="shared" si="11"/>
        <v>0</v>
      </c>
      <c r="L34" s="61">
        <f t="shared" si="11"/>
        <v>0</v>
      </c>
      <c r="M34" s="61">
        <f t="shared" si="11"/>
        <v>0</v>
      </c>
      <c r="N34" s="21">
        <f t="shared" si="11"/>
        <v>0</v>
      </c>
      <c r="O34" s="239">
        <f t="shared" si="11"/>
        <v>0</v>
      </c>
      <c r="P34" s="21">
        <f t="shared" si="11"/>
        <v>1</v>
      </c>
      <c r="Q34" s="21">
        <f t="shared" si="11"/>
        <v>0</v>
      </c>
      <c r="R34" s="249">
        <f t="shared" si="11"/>
        <v>0</v>
      </c>
    </row>
    <row r="35" spans="1:19" ht="7.1" customHeight="1" outlineLevel="1" x14ac:dyDescent="0.5">
      <c r="B35" s="85"/>
      <c r="C35" s="1"/>
      <c r="D35" s="1"/>
      <c r="G35" s="52"/>
      <c r="H35" s="61"/>
      <c r="I35" s="21"/>
      <c r="J35" s="239"/>
      <c r="K35" s="61"/>
      <c r="L35" s="61"/>
      <c r="M35" s="61"/>
      <c r="N35" s="21"/>
      <c r="O35" s="239"/>
      <c r="P35" s="21"/>
      <c r="Q35" s="21"/>
      <c r="R35" s="249"/>
    </row>
    <row r="36" spans="1:19" s="9" customFormat="1" outlineLevel="1" x14ac:dyDescent="0.5">
      <c r="A36" s="1"/>
      <c r="B36" s="84" t="s">
        <v>24</v>
      </c>
      <c r="G36" s="51"/>
      <c r="H36" s="62"/>
      <c r="I36" s="22"/>
      <c r="J36" s="240"/>
      <c r="K36" s="62"/>
      <c r="L36" s="62"/>
      <c r="M36" s="62"/>
      <c r="N36" s="22"/>
      <c r="O36" s="240"/>
      <c r="P36" s="22"/>
      <c r="Q36" s="22"/>
      <c r="R36" s="250"/>
      <c r="S36" s="1"/>
    </row>
    <row r="37" spans="1:19" outlineLevel="1" x14ac:dyDescent="0.5">
      <c r="B37" s="14" t="s">
        <v>12</v>
      </c>
      <c r="C37" s="1"/>
      <c r="D37" s="1"/>
      <c r="G37" s="52"/>
      <c r="H37" s="61"/>
      <c r="I37" s="21"/>
      <c r="J37" s="239"/>
      <c r="K37" s="61"/>
      <c r="L37" s="61"/>
      <c r="M37" s="61"/>
      <c r="N37" s="21"/>
      <c r="O37" s="239"/>
      <c r="P37" s="21"/>
      <c r="Q37" s="21"/>
      <c r="R37" s="249"/>
    </row>
    <row r="38" spans="1:19" outlineLevel="1" x14ac:dyDescent="0.5">
      <c r="B38" s="85"/>
      <c r="C38" s="2" t="s">
        <v>13</v>
      </c>
      <c r="D38" s="2"/>
      <c r="E38" s="2"/>
      <c r="F38" s="2"/>
      <c r="G38" s="52">
        <f t="shared" ref="G38:R38" si="12">CHOOSE($L$4,G82,G126,G170)</f>
        <v>0.5</v>
      </c>
      <c r="H38" s="61">
        <f t="shared" si="12"/>
        <v>0</v>
      </c>
      <c r="I38" s="21">
        <f t="shared" si="12"/>
        <v>1</v>
      </c>
      <c r="J38" s="239">
        <f t="shared" si="12"/>
        <v>1</v>
      </c>
      <c r="K38" s="61">
        <f t="shared" si="12"/>
        <v>0</v>
      </c>
      <c r="L38" s="61">
        <f t="shared" si="12"/>
        <v>0</v>
      </c>
      <c r="M38" s="61">
        <f t="shared" si="12"/>
        <v>0</v>
      </c>
      <c r="N38" s="21">
        <f t="shared" si="12"/>
        <v>0</v>
      </c>
      <c r="O38" s="239">
        <f t="shared" si="12"/>
        <v>0</v>
      </c>
      <c r="P38" s="21">
        <f t="shared" si="12"/>
        <v>0</v>
      </c>
      <c r="Q38" s="21">
        <f t="shared" si="12"/>
        <v>0</v>
      </c>
      <c r="R38" s="249">
        <f t="shared" si="12"/>
        <v>0</v>
      </c>
    </row>
    <row r="39" spans="1:19" outlineLevel="1" x14ac:dyDescent="0.5">
      <c r="B39" s="13" t="s">
        <v>14</v>
      </c>
      <c r="C39" s="1"/>
      <c r="D39" s="1"/>
      <c r="G39" s="52"/>
      <c r="H39" s="61"/>
      <c r="I39" s="21"/>
      <c r="J39" s="239"/>
      <c r="K39" s="61"/>
      <c r="L39" s="61"/>
      <c r="M39" s="61"/>
      <c r="N39" s="21"/>
      <c r="O39" s="239"/>
      <c r="P39" s="21"/>
      <c r="Q39" s="21"/>
      <c r="R39" s="249"/>
    </row>
    <row r="40" spans="1:19" outlineLevel="1" x14ac:dyDescent="0.5">
      <c r="B40" s="13"/>
      <c r="C40" s="2" t="s">
        <v>15</v>
      </c>
      <c r="D40" s="1"/>
      <c r="G40" s="52">
        <f t="shared" ref="G40:R40" si="13">CHOOSE($L$4,G84,G128,G172)</f>
        <v>0</v>
      </c>
      <c r="H40" s="61">
        <f t="shared" si="13"/>
        <v>0</v>
      </c>
      <c r="I40" s="21">
        <f t="shared" si="13"/>
        <v>0</v>
      </c>
      <c r="J40" s="239">
        <f t="shared" si="13"/>
        <v>0</v>
      </c>
      <c r="K40" s="61">
        <f t="shared" si="13"/>
        <v>0</v>
      </c>
      <c r="L40" s="61">
        <f t="shared" si="13"/>
        <v>0</v>
      </c>
      <c r="M40" s="61">
        <f t="shared" si="13"/>
        <v>0</v>
      </c>
      <c r="N40" s="21">
        <f t="shared" si="13"/>
        <v>0</v>
      </c>
      <c r="O40" s="239">
        <f t="shared" si="13"/>
        <v>0</v>
      </c>
      <c r="P40" s="21">
        <f t="shared" si="13"/>
        <v>1</v>
      </c>
      <c r="Q40" s="21">
        <f t="shared" si="13"/>
        <v>0</v>
      </c>
      <c r="R40" s="249">
        <f t="shared" si="13"/>
        <v>0</v>
      </c>
    </row>
    <row r="41" spans="1:19" outlineLevel="1" x14ac:dyDescent="0.5">
      <c r="B41" s="13"/>
      <c r="C41" s="2" t="s">
        <v>16</v>
      </c>
      <c r="D41" s="1"/>
      <c r="G41" s="52">
        <f t="shared" ref="G41:R41" si="14">CHOOSE($L$4,G85,G129,G173)</f>
        <v>1</v>
      </c>
      <c r="H41" s="61">
        <f t="shared" si="14"/>
        <v>1</v>
      </c>
      <c r="I41" s="21">
        <f t="shared" si="14"/>
        <v>0</v>
      </c>
      <c r="J41" s="239">
        <f t="shared" si="14"/>
        <v>0</v>
      </c>
      <c r="K41" s="61">
        <f t="shared" si="14"/>
        <v>0</v>
      </c>
      <c r="L41" s="61">
        <f t="shared" si="14"/>
        <v>0</v>
      </c>
      <c r="M41" s="61">
        <f t="shared" si="14"/>
        <v>0</v>
      </c>
      <c r="N41" s="21">
        <f t="shared" si="14"/>
        <v>0</v>
      </c>
      <c r="O41" s="239">
        <f t="shared" si="14"/>
        <v>0</v>
      </c>
      <c r="P41" s="21">
        <f t="shared" si="14"/>
        <v>1</v>
      </c>
      <c r="Q41" s="21">
        <f t="shared" si="14"/>
        <v>0</v>
      </c>
      <c r="R41" s="249">
        <f t="shared" si="14"/>
        <v>0</v>
      </c>
    </row>
    <row r="42" spans="1:19" outlineLevel="1" x14ac:dyDescent="0.5">
      <c r="B42" s="13"/>
      <c r="C42" s="2" t="s">
        <v>17</v>
      </c>
      <c r="D42" s="1"/>
      <c r="G42" s="52">
        <f t="shared" ref="G42:R42" si="15">CHOOSE($L$4,G86,G130,G174)</f>
        <v>0</v>
      </c>
      <c r="H42" s="61">
        <f t="shared" si="15"/>
        <v>0</v>
      </c>
      <c r="I42" s="21">
        <f t="shared" si="15"/>
        <v>0</v>
      </c>
      <c r="J42" s="239">
        <f t="shared" si="15"/>
        <v>0</v>
      </c>
      <c r="K42" s="61">
        <f t="shared" si="15"/>
        <v>0</v>
      </c>
      <c r="L42" s="61">
        <f t="shared" si="15"/>
        <v>0</v>
      </c>
      <c r="M42" s="61">
        <f t="shared" si="15"/>
        <v>0</v>
      </c>
      <c r="N42" s="21">
        <f t="shared" si="15"/>
        <v>0</v>
      </c>
      <c r="O42" s="239">
        <f t="shared" si="15"/>
        <v>0</v>
      </c>
      <c r="P42" s="21">
        <f t="shared" si="15"/>
        <v>0</v>
      </c>
      <c r="Q42" s="21">
        <f t="shared" si="15"/>
        <v>0</v>
      </c>
      <c r="R42" s="249">
        <f t="shared" si="15"/>
        <v>0</v>
      </c>
    </row>
    <row r="43" spans="1:19" outlineLevel="1" x14ac:dyDescent="0.5">
      <c r="B43" s="85"/>
      <c r="C43" s="2" t="s">
        <v>18</v>
      </c>
      <c r="D43" s="1"/>
      <c r="G43" s="52">
        <f t="shared" ref="G43:R43" si="16">CHOOSE($L$4,G87,G131,G175)</f>
        <v>0</v>
      </c>
      <c r="H43" s="61">
        <f t="shared" si="16"/>
        <v>0</v>
      </c>
      <c r="I43" s="21">
        <f t="shared" si="16"/>
        <v>0</v>
      </c>
      <c r="J43" s="239">
        <f t="shared" si="16"/>
        <v>0</v>
      </c>
      <c r="K43" s="61">
        <f t="shared" si="16"/>
        <v>0</v>
      </c>
      <c r="L43" s="61">
        <f t="shared" si="16"/>
        <v>0</v>
      </c>
      <c r="M43" s="61">
        <f t="shared" si="16"/>
        <v>0</v>
      </c>
      <c r="N43" s="21">
        <f t="shared" si="16"/>
        <v>0</v>
      </c>
      <c r="O43" s="239">
        <f t="shared" si="16"/>
        <v>0</v>
      </c>
      <c r="P43" s="21">
        <f t="shared" si="16"/>
        <v>0</v>
      </c>
      <c r="Q43" s="21">
        <f t="shared" si="16"/>
        <v>0</v>
      </c>
      <c r="R43" s="249">
        <f t="shared" si="16"/>
        <v>1</v>
      </c>
    </row>
    <row r="44" spans="1:19" ht="7.1" customHeight="1" outlineLevel="1" x14ac:dyDescent="0.5">
      <c r="B44" s="85"/>
      <c r="C44" s="1"/>
      <c r="D44" s="1"/>
      <c r="G44" s="52"/>
      <c r="H44" s="61"/>
      <c r="I44" s="21"/>
      <c r="J44" s="239"/>
      <c r="K44" s="61"/>
      <c r="L44" s="61"/>
      <c r="M44" s="61"/>
      <c r="N44" s="21"/>
      <c r="O44" s="239"/>
      <c r="P44" s="21"/>
      <c r="Q44" s="21"/>
      <c r="R44" s="249"/>
    </row>
    <row r="45" spans="1:19" s="9" customFormat="1" outlineLevel="1" x14ac:dyDescent="0.5">
      <c r="A45" s="1"/>
      <c r="B45" s="86" t="s">
        <v>19</v>
      </c>
      <c r="E45" s="11"/>
      <c r="F45" s="11"/>
      <c r="G45" s="51"/>
      <c r="H45" s="62"/>
      <c r="I45" s="22"/>
      <c r="J45" s="240"/>
      <c r="K45" s="62"/>
      <c r="L45" s="62"/>
      <c r="M45" s="62"/>
      <c r="N45" s="22"/>
      <c r="O45" s="240"/>
      <c r="P45" s="22"/>
      <c r="Q45" s="22"/>
      <c r="R45" s="250"/>
      <c r="S45" s="1"/>
    </row>
    <row r="46" spans="1:19" outlineLevel="1" x14ac:dyDescent="0.5">
      <c r="B46" s="14" t="s">
        <v>19</v>
      </c>
      <c r="C46" s="1"/>
      <c r="D46" s="1"/>
      <c r="E46" s="2"/>
      <c r="F46" s="2"/>
      <c r="G46" s="52">
        <f t="shared" ref="G46:R46" si="17">CHOOSE($L$4,G90,G134,G178)</f>
        <v>0</v>
      </c>
      <c r="H46" s="61">
        <f t="shared" si="17"/>
        <v>1</v>
      </c>
      <c r="I46" s="21">
        <f t="shared" si="17"/>
        <v>0</v>
      </c>
      <c r="J46" s="239">
        <f t="shared" si="17"/>
        <v>0</v>
      </c>
      <c r="K46" s="61">
        <f t="shared" si="17"/>
        <v>0</v>
      </c>
      <c r="L46" s="61">
        <f t="shared" si="17"/>
        <v>0</v>
      </c>
      <c r="M46" s="61">
        <f t="shared" si="17"/>
        <v>0</v>
      </c>
      <c r="N46" s="21">
        <f t="shared" si="17"/>
        <v>0</v>
      </c>
      <c r="O46" s="239">
        <f t="shared" si="17"/>
        <v>0</v>
      </c>
      <c r="P46" s="21">
        <f t="shared" si="17"/>
        <v>0</v>
      </c>
      <c r="Q46" s="21">
        <f t="shared" si="17"/>
        <v>0</v>
      </c>
      <c r="R46" s="249">
        <f t="shared" si="17"/>
        <v>0</v>
      </c>
    </row>
    <row r="47" spans="1:19" ht="7.1" customHeight="1" outlineLevel="1" x14ac:dyDescent="0.5">
      <c r="B47" s="14"/>
      <c r="C47" s="1"/>
      <c r="D47" s="1"/>
      <c r="E47" s="2"/>
      <c r="F47" s="2"/>
      <c r="G47" s="52"/>
      <c r="H47" s="61"/>
      <c r="I47" s="21"/>
      <c r="J47" s="239"/>
      <c r="K47" s="61"/>
      <c r="L47" s="61"/>
      <c r="M47" s="61"/>
      <c r="N47" s="21"/>
      <c r="O47" s="239"/>
      <c r="P47" s="21"/>
      <c r="Q47" s="21"/>
      <c r="R47" s="249"/>
    </row>
    <row r="48" spans="1:19" s="9" customFormat="1" outlineLevel="1" x14ac:dyDescent="0.5">
      <c r="A48" s="1"/>
      <c r="B48" s="86" t="s">
        <v>25</v>
      </c>
      <c r="G48" s="51"/>
      <c r="H48" s="62"/>
      <c r="I48" s="22"/>
      <c r="J48" s="240"/>
      <c r="K48" s="62"/>
      <c r="L48" s="62"/>
      <c r="M48" s="62"/>
      <c r="N48" s="22"/>
      <c r="O48" s="240"/>
      <c r="P48" s="22"/>
      <c r="Q48" s="22"/>
      <c r="R48" s="250"/>
      <c r="S48" s="1"/>
    </row>
    <row r="49" spans="1:19" outlineLevel="1" x14ac:dyDescent="0.5">
      <c r="B49" s="14" t="s">
        <v>25</v>
      </c>
      <c r="C49" s="1"/>
      <c r="D49" s="1"/>
      <c r="G49" s="52">
        <f t="shared" ref="G49:R49" si="18">CHOOSE($L$4,G93,G137,G181)</f>
        <v>0.5</v>
      </c>
      <c r="H49" s="61">
        <f t="shared" si="18"/>
        <v>0</v>
      </c>
      <c r="I49" s="21">
        <f t="shared" si="18"/>
        <v>0</v>
      </c>
      <c r="J49" s="239">
        <f t="shared" si="18"/>
        <v>0</v>
      </c>
      <c r="K49" s="61">
        <f t="shared" si="18"/>
        <v>0</v>
      </c>
      <c r="L49" s="61">
        <f t="shared" si="18"/>
        <v>0</v>
      </c>
      <c r="M49" s="61">
        <f t="shared" si="18"/>
        <v>0</v>
      </c>
      <c r="N49" s="21">
        <f t="shared" si="18"/>
        <v>0</v>
      </c>
      <c r="O49" s="239">
        <f t="shared" si="18"/>
        <v>0</v>
      </c>
      <c r="P49" s="21">
        <f t="shared" si="18"/>
        <v>0</v>
      </c>
      <c r="Q49" s="21">
        <f t="shared" si="18"/>
        <v>0</v>
      </c>
      <c r="R49" s="249">
        <f t="shared" si="18"/>
        <v>0</v>
      </c>
    </row>
    <row r="50" spans="1:19" ht="7.1" customHeight="1" outlineLevel="1" x14ac:dyDescent="0.5">
      <c r="B50" s="14"/>
      <c r="C50" s="1"/>
      <c r="D50" s="1"/>
      <c r="G50" s="52"/>
      <c r="H50" s="61"/>
      <c r="I50" s="21"/>
      <c r="J50" s="239"/>
      <c r="K50" s="61"/>
      <c r="L50" s="61"/>
      <c r="M50" s="61"/>
      <c r="N50" s="21"/>
      <c r="O50" s="239"/>
      <c r="P50" s="21"/>
      <c r="Q50" s="21"/>
      <c r="R50" s="249"/>
    </row>
    <row r="51" spans="1:19" s="9" customFormat="1" outlineLevel="1" x14ac:dyDescent="0.5">
      <c r="A51" s="1"/>
      <c r="B51" s="86" t="s">
        <v>4</v>
      </c>
      <c r="G51" s="51"/>
      <c r="H51" s="62"/>
      <c r="I51" s="22"/>
      <c r="J51" s="240"/>
      <c r="K51" s="62"/>
      <c r="L51" s="62"/>
      <c r="M51" s="62"/>
      <c r="N51" s="22"/>
      <c r="O51" s="240"/>
      <c r="P51" s="22"/>
      <c r="Q51" s="22"/>
      <c r="R51" s="250"/>
      <c r="S51" s="1"/>
    </row>
    <row r="52" spans="1:19" outlineLevel="1" x14ac:dyDescent="0.5">
      <c r="B52" s="14" t="s">
        <v>20</v>
      </c>
      <c r="C52" s="1"/>
      <c r="D52" s="1"/>
      <c r="E52" s="2"/>
      <c r="F52" s="2"/>
      <c r="G52" s="52">
        <f t="shared" ref="G52:R52" si="19">CHOOSE($L$4,G96,G140,G184)</f>
        <v>0.5</v>
      </c>
      <c r="H52" s="61">
        <f t="shared" si="19"/>
        <v>1</v>
      </c>
      <c r="I52" s="21">
        <f t="shared" si="19"/>
        <v>0</v>
      </c>
      <c r="J52" s="239">
        <f t="shared" si="19"/>
        <v>1</v>
      </c>
      <c r="K52" s="61">
        <f t="shared" si="19"/>
        <v>0</v>
      </c>
      <c r="L52" s="61">
        <f t="shared" si="19"/>
        <v>0</v>
      </c>
      <c r="M52" s="61">
        <f t="shared" si="19"/>
        <v>0</v>
      </c>
      <c r="N52" s="21">
        <f t="shared" si="19"/>
        <v>0</v>
      </c>
      <c r="O52" s="239">
        <f t="shared" si="19"/>
        <v>0</v>
      </c>
      <c r="P52" s="21">
        <f t="shared" si="19"/>
        <v>0</v>
      </c>
      <c r="Q52" s="21">
        <f t="shared" si="19"/>
        <v>0</v>
      </c>
      <c r="R52" s="249">
        <f t="shared" si="19"/>
        <v>0</v>
      </c>
    </row>
    <row r="53" spans="1:19" outlineLevel="1" x14ac:dyDescent="0.5">
      <c r="B53" s="14" t="s">
        <v>11</v>
      </c>
      <c r="C53" s="1"/>
      <c r="D53" s="1"/>
      <c r="E53" s="2"/>
      <c r="F53" s="2"/>
      <c r="G53" s="52">
        <f t="shared" ref="G53:R53" si="20">CHOOSE($L$4,G97,G141,G185)</f>
        <v>1</v>
      </c>
      <c r="H53" s="61">
        <f t="shared" si="20"/>
        <v>0</v>
      </c>
      <c r="I53" s="21">
        <f t="shared" si="20"/>
        <v>0</v>
      </c>
      <c r="J53" s="239">
        <f t="shared" si="20"/>
        <v>0</v>
      </c>
      <c r="K53" s="61">
        <f t="shared" si="20"/>
        <v>0</v>
      </c>
      <c r="L53" s="61">
        <f t="shared" si="20"/>
        <v>0</v>
      </c>
      <c r="M53" s="61">
        <f t="shared" si="20"/>
        <v>0</v>
      </c>
      <c r="N53" s="21">
        <f t="shared" si="20"/>
        <v>0</v>
      </c>
      <c r="O53" s="239">
        <f t="shared" si="20"/>
        <v>0</v>
      </c>
      <c r="P53" s="21">
        <f t="shared" si="20"/>
        <v>1</v>
      </c>
      <c r="Q53" s="21">
        <f t="shared" si="20"/>
        <v>0</v>
      </c>
      <c r="R53" s="249">
        <f t="shared" si="20"/>
        <v>0</v>
      </c>
    </row>
    <row r="54" spans="1:19" ht="14.7" outlineLevel="1" thickBot="1" x14ac:dyDescent="0.55000000000000004">
      <c r="B54" s="38" t="s">
        <v>55</v>
      </c>
      <c r="C54" s="16"/>
      <c r="D54" s="16"/>
      <c r="E54" s="15"/>
      <c r="F54" s="15"/>
      <c r="G54" s="63">
        <f t="shared" ref="G54:R54" si="21">CHOOSE($L$4,G98,G142,G186)</f>
        <v>0</v>
      </c>
      <c r="H54" s="23">
        <f t="shared" si="21"/>
        <v>1</v>
      </c>
      <c r="I54" s="23">
        <f t="shared" si="21"/>
        <v>0</v>
      </c>
      <c r="J54" s="241">
        <f t="shared" si="21"/>
        <v>0</v>
      </c>
      <c r="K54" s="23">
        <f t="shared" si="21"/>
        <v>0</v>
      </c>
      <c r="L54" s="23">
        <f t="shared" si="21"/>
        <v>0</v>
      </c>
      <c r="M54" s="23">
        <f t="shared" si="21"/>
        <v>0</v>
      </c>
      <c r="N54" s="23">
        <f t="shared" si="21"/>
        <v>0</v>
      </c>
      <c r="O54" s="241">
        <f t="shared" si="21"/>
        <v>0</v>
      </c>
      <c r="P54" s="23">
        <f t="shared" si="21"/>
        <v>0</v>
      </c>
      <c r="Q54" s="23">
        <f t="shared" si="21"/>
        <v>0</v>
      </c>
      <c r="R54" s="251">
        <f t="shared" si="21"/>
        <v>0</v>
      </c>
    </row>
    <row r="55" spans="1:19" outlineLevel="1" x14ac:dyDescent="0.5">
      <c r="G55" s="24"/>
      <c r="H55" s="24"/>
      <c r="I55" s="24"/>
      <c r="J55" s="24"/>
      <c r="K55" s="24"/>
      <c r="L55" s="24"/>
      <c r="M55" s="24"/>
      <c r="N55" s="24"/>
      <c r="O55" s="24"/>
      <c r="P55" s="24"/>
      <c r="Q55" s="24"/>
      <c r="R55" s="24"/>
    </row>
    <row r="56" spans="1:19" ht="14.7" thickBot="1" x14ac:dyDescent="0.55000000000000004">
      <c r="G56" s="24"/>
      <c r="H56" s="24"/>
      <c r="I56" s="24"/>
      <c r="J56" s="24"/>
      <c r="K56" s="24"/>
      <c r="L56" s="24"/>
      <c r="M56" s="24"/>
      <c r="N56" s="24"/>
      <c r="O56" s="24"/>
      <c r="P56" s="24"/>
      <c r="Q56" s="24"/>
      <c r="R56" s="24"/>
    </row>
    <row r="57" spans="1:19" ht="14.7" thickBot="1" x14ac:dyDescent="0.55000000000000004">
      <c r="B57" s="124" t="s">
        <v>28</v>
      </c>
      <c r="C57" s="125"/>
      <c r="D57" s="125"/>
      <c r="E57" s="126"/>
      <c r="F57" s="126"/>
      <c r="G57" s="127"/>
      <c r="H57" s="128"/>
      <c r="I57" s="128"/>
      <c r="J57" s="128"/>
      <c r="K57" s="127"/>
      <c r="L57" s="128"/>
      <c r="M57" s="128"/>
      <c r="N57" s="128"/>
      <c r="O57" s="237"/>
      <c r="P57" s="128"/>
      <c r="Q57" s="128"/>
      <c r="R57" s="247"/>
    </row>
    <row r="58" spans="1:19" s="9" customFormat="1" outlineLevel="1" x14ac:dyDescent="0.5">
      <c r="A58" s="1"/>
      <c r="B58" s="84" t="s">
        <v>21</v>
      </c>
      <c r="C58" s="77"/>
      <c r="D58" s="77"/>
      <c r="G58" s="50"/>
      <c r="H58" s="60"/>
      <c r="I58" s="60"/>
      <c r="J58" s="60"/>
      <c r="K58" s="50"/>
      <c r="L58" s="60"/>
      <c r="M58" s="60"/>
      <c r="N58" s="20"/>
      <c r="O58" s="238"/>
      <c r="P58" s="20"/>
      <c r="Q58" s="20"/>
      <c r="R58" s="248"/>
      <c r="S58" s="1"/>
    </row>
    <row r="59" spans="1:19" outlineLevel="1" x14ac:dyDescent="0.5">
      <c r="B59" s="14" t="s">
        <v>59</v>
      </c>
      <c r="C59" s="1"/>
      <c r="D59" s="1"/>
      <c r="G59" s="88"/>
      <c r="H59" s="89"/>
      <c r="I59" s="89"/>
      <c r="J59" s="89"/>
      <c r="K59" s="88"/>
      <c r="L59" s="89"/>
      <c r="M59" s="89"/>
      <c r="N59" s="25"/>
      <c r="O59" s="244"/>
      <c r="P59" s="25"/>
      <c r="Q59" s="25"/>
      <c r="R59" s="252"/>
    </row>
    <row r="60" spans="1:19" outlineLevel="1" x14ac:dyDescent="0.5">
      <c r="B60" s="14"/>
      <c r="C60" s="2" t="s">
        <v>52</v>
      </c>
      <c r="D60" s="1"/>
      <c r="G60" s="88">
        <v>1</v>
      </c>
      <c r="H60" s="89">
        <v>1</v>
      </c>
      <c r="I60" s="25">
        <v>1</v>
      </c>
      <c r="J60" s="25">
        <v>1</v>
      </c>
      <c r="K60" s="88">
        <v>0</v>
      </c>
      <c r="L60" s="89">
        <v>0</v>
      </c>
      <c r="M60" s="89">
        <v>0</v>
      </c>
      <c r="N60" s="25">
        <v>0</v>
      </c>
      <c r="O60" s="244">
        <v>0</v>
      </c>
      <c r="P60" s="25">
        <v>1</v>
      </c>
      <c r="Q60" s="25">
        <v>0</v>
      </c>
      <c r="R60" s="252">
        <v>1</v>
      </c>
    </row>
    <row r="61" spans="1:19" outlineLevel="1" x14ac:dyDescent="0.5">
      <c r="B61" s="85"/>
      <c r="C61" s="2" t="s">
        <v>4</v>
      </c>
      <c r="D61" s="1"/>
      <c r="G61" s="88">
        <v>1</v>
      </c>
      <c r="H61" s="89">
        <v>1</v>
      </c>
      <c r="I61" s="25">
        <v>1</v>
      </c>
      <c r="J61" s="25">
        <v>1</v>
      </c>
      <c r="K61" s="88">
        <v>0</v>
      </c>
      <c r="L61" s="89">
        <v>0</v>
      </c>
      <c r="M61" s="89">
        <v>0</v>
      </c>
      <c r="N61" s="25">
        <v>0</v>
      </c>
      <c r="O61" s="244">
        <v>0</v>
      </c>
      <c r="P61" s="25">
        <v>1</v>
      </c>
      <c r="Q61" s="25">
        <v>0</v>
      </c>
      <c r="R61" s="252">
        <v>1</v>
      </c>
    </row>
    <row r="62" spans="1:19" outlineLevel="1" x14ac:dyDescent="0.5">
      <c r="B62" s="14" t="s">
        <v>5</v>
      </c>
      <c r="C62" s="1"/>
      <c r="D62" s="1"/>
      <c r="E62" s="2"/>
      <c r="F62" s="2"/>
      <c r="G62" s="88">
        <v>1</v>
      </c>
      <c r="H62" s="89">
        <v>1</v>
      </c>
      <c r="I62" s="25">
        <v>1</v>
      </c>
      <c r="J62" s="25">
        <v>1</v>
      </c>
      <c r="K62" s="88">
        <v>0</v>
      </c>
      <c r="L62" s="89">
        <v>0</v>
      </c>
      <c r="M62" s="89">
        <v>0</v>
      </c>
      <c r="N62" s="25">
        <v>0</v>
      </c>
      <c r="O62" s="244">
        <v>0</v>
      </c>
      <c r="P62" s="25">
        <v>1</v>
      </c>
      <c r="Q62" s="25">
        <v>0</v>
      </c>
      <c r="R62" s="252">
        <v>1</v>
      </c>
    </row>
    <row r="63" spans="1:19" outlineLevel="1" x14ac:dyDescent="0.5">
      <c r="B63" s="14" t="s">
        <v>6</v>
      </c>
      <c r="C63" s="1"/>
      <c r="D63" s="1"/>
      <c r="G63" s="88">
        <v>1</v>
      </c>
      <c r="H63" s="89">
        <v>1</v>
      </c>
      <c r="I63" s="25">
        <v>1</v>
      </c>
      <c r="J63" s="25">
        <v>1</v>
      </c>
      <c r="K63" s="88">
        <v>0</v>
      </c>
      <c r="L63" s="89">
        <v>0</v>
      </c>
      <c r="M63" s="89">
        <v>0</v>
      </c>
      <c r="N63" s="25">
        <v>0</v>
      </c>
      <c r="O63" s="244">
        <v>0</v>
      </c>
      <c r="P63" s="25">
        <v>1</v>
      </c>
      <c r="Q63" s="25">
        <v>0</v>
      </c>
      <c r="R63" s="252">
        <v>1</v>
      </c>
    </row>
    <row r="64" spans="1:19" ht="7.1" customHeight="1" outlineLevel="1" x14ac:dyDescent="0.5">
      <c r="B64" s="85"/>
      <c r="C64" s="1"/>
      <c r="D64" s="1"/>
      <c r="G64" s="88"/>
      <c r="H64" s="89"/>
      <c r="I64" s="25"/>
      <c r="J64" s="25"/>
      <c r="K64" s="88"/>
      <c r="L64" s="89"/>
      <c r="M64" s="89"/>
      <c r="N64" s="25"/>
      <c r="O64" s="244"/>
      <c r="P64" s="25"/>
      <c r="Q64" s="25"/>
      <c r="R64" s="252"/>
    </row>
    <row r="65" spans="1:19" s="9" customFormat="1" outlineLevel="1" x14ac:dyDescent="0.5">
      <c r="A65" s="1"/>
      <c r="B65" s="86" t="s">
        <v>22</v>
      </c>
      <c r="G65" s="90"/>
      <c r="H65" s="91"/>
      <c r="I65" s="26"/>
      <c r="J65" s="26"/>
      <c r="K65" s="90"/>
      <c r="L65" s="91"/>
      <c r="M65" s="91"/>
      <c r="N65" s="26"/>
      <c r="O65" s="245"/>
      <c r="P65" s="26"/>
      <c r="Q65" s="26"/>
      <c r="R65" s="253"/>
      <c r="S65" s="1"/>
    </row>
    <row r="66" spans="1:19" outlineLevel="1" x14ac:dyDescent="0.5">
      <c r="B66" s="14" t="s">
        <v>53</v>
      </c>
      <c r="C66" s="1"/>
      <c r="D66" s="1"/>
      <c r="G66" s="88"/>
      <c r="H66" s="89"/>
      <c r="I66" s="25"/>
      <c r="J66" s="25"/>
      <c r="K66" s="88"/>
      <c r="L66" s="89"/>
      <c r="M66" s="89"/>
      <c r="N66" s="25"/>
      <c r="O66" s="244"/>
      <c r="P66" s="25"/>
      <c r="Q66" s="25"/>
      <c r="R66" s="252"/>
    </row>
    <row r="67" spans="1:19" outlineLevel="1" x14ac:dyDescent="0.5">
      <c r="B67" s="14"/>
      <c r="C67" s="2" t="s">
        <v>47</v>
      </c>
      <c r="D67" s="1"/>
      <c r="G67" s="88">
        <v>0</v>
      </c>
      <c r="H67" s="89">
        <v>0</v>
      </c>
      <c r="I67" s="25">
        <v>1</v>
      </c>
      <c r="J67" s="25">
        <v>1</v>
      </c>
      <c r="K67" s="88">
        <v>0</v>
      </c>
      <c r="L67" s="89">
        <v>0</v>
      </c>
      <c r="M67" s="89">
        <v>0</v>
      </c>
      <c r="N67" s="25">
        <v>0</v>
      </c>
      <c r="O67" s="244">
        <v>0</v>
      </c>
      <c r="P67" s="25">
        <v>1</v>
      </c>
      <c r="Q67" s="25">
        <v>0</v>
      </c>
      <c r="R67" s="252">
        <v>1</v>
      </c>
    </row>
    <row r="68" spans="1:19" outlineLevel="1" x14ac:dyDescent="0.5">
      <c r="B68" s="85"/>
      <c r="C68" s="2" t="s">
        <v>48</v>
      </c>
      <c r="D68" s="1"/>
      <c r="E68" s="2"/>
      <c r="F68" s="2"/>
      <c r="G68" s="88">
        <v>0</v>
      </c>
      <c r="H68" s="89">
        <v>0</v>
      </c>
      <c r="I68" s="25">
        <v>1</v>
      </c>
      <c r="J68" s="25">
        <v>1</v>
      </c>
      <c r="K68" s="88">
        <v>0</v>
      </c>
      <c r="L68" s="89">
        <v>0</v>
      </c>
      <c r="M68" s="89">
        <v>0</v>
      </c>
      <c r="N68" s="25">
        <v>0</v>
      </c>
      <c r="O68" s="244">
        <v>0</v>
      </c>
      <c r="P68" s="25">
        <v>1</v>
      </c>
      <c r="Q68" s="25">
        <v>0</v>
      </c>
      <c r="R68" s="252">
        <v>1</v>
      </c>
    </row>
    <row r="69" spans="1:19" outlineLevel="1" x14ac:dyDescent="0.5">
      <c r="B69" s="14" t="s">
        <v>46</v>
      </c>
      <c r="C69" s="2"/>
      <c r="D69" s="1"/>
      <c r="E69" s="2"/>
      <c r="F69" s="2"/>
      <c r="G69" s="88">
        <v>0</v>
      </c>
      <c r="H69" s="89">
        <v>0</v>
      </c>
      <c r="I69" s="25">
        <v>1</v>
      </c>
      <c r="J69" s="25">
        <v>1</v>
      </c>
      <c r="K69" s="88">
        <v>0</v>
      </c>
      <c r="L69" s="89">
        <v>0</v>
      </c>
      <c r="M69" s="89">
        <v>0</v>
      </c>
      <c r="N69" s="25">
        <v>0</v>
      </c>
      <c r="O69" s="244">
        <v>0</v>
      </c>
      <c r="P69" s="25">
        <v>1</v>
      </c>
      <c r="Q69" s="25">
        <v>0</v>
      </c>
      <c r="R69" s="252">
        <v>1</v>
      </c>
    </row>
    <row r="70" spans="1:19" outlineLevel="1" x14ac:dyDescent="0.5">
      <c r="B70" s="14" t="s">
        <v>8</v>
      </c>
      <c r="C70" s="1"/>
      <c r="D70" s="1"/>
      <c r="E70" s="2"/>
      <c r="F70" s="2"/>
      <c r="G70" s="88">
        <v>0</v>
      </c>
      <c r="H70" s="89">
        <v>0</v>
      </c>
      <c r="I70" s="25">
        <v>1</v>
      </c>
      <c r="J70" s="25">
        <v>1</v>
      </c>
      <c r="K70" s="88">
        <v>0</v>
      </c>
      <c r="L70" s="89">
        <v>0</v>
      </c>
      <c r="M70" s="89">
        <v>0</v>
      </c>
      <c r="N70" s="25">
        <v>0</v>
      </c>
      <c r="O70" s="244">
        <v>0</v>
      </c>
      <c r="P70" s="25">
        <v>1</v>
      </c>
      <c r="Q70" s="25">
        <v>0</v>
      </c>
      <c r="R70" s="252">
        <v>1</v>
      </c>
    </row>
    <row r="71" spans="1:19" ht="7.1" customHeight="1" outlineLevel="1" x14ac:dyDescent="0.5">
      <c r="B71" s="85"/>
      <c r="C71" s="1"/>
      <c r="D71" s="1"/>
      <c r="E71" s="2"/>
      <c r="F71" s="2"/>
      <c r="G71" s="88"/>
      <c r="H71" s="89"/>
      <c r="I71" s="25"/>
      <c r="J71" s="25"/>
      <c r="K71" s="88"/>
      <c r="L71" s="89"/>
      <c r="M71" s="89"/>
      <c r="N71" s="25"/>
      <c r="O71" s="244"/>
      <c r="P71" s="25"/>
      <c r="Q71" s="25"/>
      <c r="R71" s="252"/>
    </row>
    <row r="72" spans="1:19" s="9" customFormat="1" outlineLevel="1" x14ac:dyDescent="0.5">
      <c r="A72" s="1"/>
      <c r="B72" s="84" t="s">
        <v>23</v>
      </c>
      <c r="G72" s="90"/>
      <c r="H72" s="91"/>
      <c r="I72" s="26"/>
      <c r="J72" s="26"/>
      <c r="K72" s="90"/>
      <c r="L72" s="91"/>
      <c r="M72" s="91"/>
      <c r="N72" s="26"/>
      <c r="O72" s="245"/>
      <c r="P72" s="26"/>
      <c r="Q72" s="26"/>
      <c r="R72" s="253"/>
      <c r="S72" s="1"/>
    </row>
    <row r="73" spans="1:19" outlineLevel="1" x14ac:dyDescent="0.5">
      <c r="B73" s="14" t="s">
        <v>45</v>
      </c>
      <c r="C73" s="1"/>
      <c r="D73" s="1"/>
      <c r="E73" s="2"/>
      <c r="F73" s="2"/>
      <c r="G73" s="88">
        <v>1</v>
      </c>
      <c r="H73" s="89">
        <v>1</v>
      </c>
      <c r="I73" s="25">
        <v>1</v>
      </c>
      <c r="J73" s="25">
        <v>1</v>
      </c>
      <c r="K73" s="88">
        <v>0</v>
      </c>
      <c r="L73" s="89">
        <v>0</v>
      </c>
      <c r="M73" s="89">
        <v>0</v>
      </c>
      <c r="N73" s="25">
        <v>0</v>
      </c>
      <c r="O73" s="244">
        <v>0</v>
      </c>
      <c r="P73" s="25">
        <v>1</v>
      </c>
      <c r="Q73" s="25">
        <v>0</v>
      </c>
      <c r="R73" s="252">
        <v>1</v>
      </c>
    </row>
    <row r="74" spans="1:19" outlineLevel="1" x14ac:dyDescent="0.5">
      <c r="B74" s="14" t="s">
        <v>9</v>
      </c>
      <c r="C74" s="1"/>
      <c r="D74" s="1"/>
      <c r="E74" s="2"/>
      <c r="F74" s="2"/>
      <c r="G74" s="88">
        <v>1</v>
      </c>
      <c r="H74" s="89">
        <v>1</v>
      </c>
      <c r="I74" s="25">
        <v>1</v>
      </c>
      <c r="J74" s="25">
        <v>1</v>
      </c>
      <c r="K74" s="88">
        <v>0</v>
      </c>
      <c r="L74" s="89">
        <v>0</v>
      </c>
      <c r="M74" s="89">
        <v>0</v>
      </c>
      <c r="N74" s="25">
        <v>0</v>
      </c>
      <c r="O74" s="244">
        <v>0</v>
      </c>
      <c r="P74" s="25">
        <v>1</v>
      </c>
      <c r="Q74" s="25">
        <v>0</v>
      </c>
      <c r="R74" s="252">
        <v>1</v>
      </c>
    </row>
    <row r="75" spans="1:19" ht="7.1" customHeight="1" outlineLevel="1" x14ac:dyDescent="0.5">
      <c r="B75" s="85"/>
      <c r="C75" s="1"/>
      <c r="D75" s="1"/>
      <c r="G75" s="88"/>
      <c r="H75" s="89"/>
      <c r="I75" s="25"/>
      <c r="J75" s="25"/>
      <c r="K75" s="88"/>
      <c r="L75" s="89"/>
      <c r="M75" s="89"/>
      <c r="N75" s="25"/>
      <c r="O75" s="244"/>
      <c r="P75" s="25"/>
      <c r="Q75" s="25"/>
      <c r="R75" s="252"/>
    </row>
    <row r="76" spans="1:19" s="9" customFormat="1" outlineLevel="1" x14ac:dyDescent="0.5">
      <c r="A76" s="1"/>
      <c r="B76" s="84" t="s">
        <v>10</v>
      </c>
      <c r="G76" s="90"/>
      <c r="H76" s="91"/>
      <c r="I76" s="26"/>
      <c r="J76" s="26"/>
      <c r="K76" s="90"/>
      <c r="L76" s="91"/>
      <c r="M76" s="91"/>
      <c r="N76" s="26"/>
      <c r="O76" s="245"/>
      <c r="P76" s="26"/>
      <c r="Q76" s="26"/>
      <c r="R76" s="253"/>
      <c r="S76" s="1"/>
    </row>
    <row r="77" spans="1:19" outlineLevel="1" x14ac:dyDescent="0.5">
      <c r="B77" s="14" t="s">
        <v>49</v>
      </c>
      <c r="D77" s="1"/>
      <c r="G77" s="88">
        <v>1</v>
      </c>
      <c r="H77" s="89">
        <v>1</v>
      </c>
      <c r="I77" s="25">
        <v>1</v>
      </c>
      <c r="J77" s="25">
        <v>1</v>
      </c>
      <c r="K77" s="88">
        <v>0</v>
      </c>
      <c r="L77" s="89">
        <v>0</v>
      </c>
      <c r="M77" s="89">
        <v>0</v>
      </c>
      <c r="N77" s="25">
        <v>0</v>
      </c>
      <c r="O77" s="244">
        <v>0</v>
      </c>
      <c r="P77" s="25">
        <v>1</v>
      </c>
      <c r="Q77" s="25">
        <v>0</v>
      </c>
      <c r="R77" s="252">
        <v>1</v>
      </c>
    </row>
    <row r="78" spans="1:19" outlineLevel="1" x14ac:dyDescent="0.5">
      <c r="B78" s="14" t="s">
        <v>50</v>
      </c>
      <c r="D78" s="1"/>
      <c r="G78" s="88">
        <v>1</v>
      </c>
      <c r="H78" s="89">
        <v>1</v>
      </c>
      <c r="I78" s="25">
        <v>1</v>
      </c>
      <c r="J78" s="25">
        <v>1</v>
      </c>
      <c r="K78" s="88">
        <v>0</v>
      </c>
      <c r="L78" s="89">
        <v>0</v>
      </c>
      <c r="M78" s="89">
        <v>0</v>
      </c>
      <c r="N78" s="25">
        <v>0</v>
      </c>
      <c r="O78" s="244">
        <v>0</v>
      </c>
      <c r="P78" s="25">
        <v>1</v>
      </c>
      <c r="Q78" s="25">
        <v>0</v>
      </c>
      <c r="R78" s="252">
        <v>1</v>
      </c>
    </row>
    <row r="79" spans="1:19" ht="7.1" customHeight="1" outlineLevel="1" x14ac:dyDescent="0.5">
      <c r="B79" s="85"/>
      <c r="C79" s="1"/>
      <c r="D79" s="1"/>
      <c r="G79" s="88"/>
      <c r="H79" s="89"/>
      <c r="I79" s="25"/>
      <c r="J79" s="25"/>
      <c r="K79" s="88"/>
      <c r="L79" s="89"/>
      <c r="M79" s="89"/>
      <c r="N79" s="25"/>
      <c r="O79" s="244"/>
      <c r="P79" s="25"/>
      <c r="Q79" s="25"/>
      <c r="R79" s="252"/>
    </row>
    <row r="80" spans="1:19" s="9" customFormat="1" outlineLevel="1" x14ac:dyDescent="0.5">
      <c r="A80" s="1"/>
      <c r="B80" s="84" t="s">
        <v>24</v>
      </c>
      <c r="G80" s="90"/>
      <c r="H80" s="91"/>
      <c r="I80" s="26"/>
      <c r="J80" s="26"/>
      <c r="K80" s="90"/>
      <c r="L80" s="91"/>
      <c r="M80" s="91"/>
      <c r="N80" s="26"/>
      <c r="O80" s="245"/>
      <c r="P80" s="26"/>
      <c r="Q80" s="26"/>
      <c r="R80" s="253"/>
      <c r="S80" s="1"/>
    </row>
    <row r="81" spans="1:19" outlineLevel="1" x14ac:dyDescent="0.5">
      <c r="B81" s="14" t="s">
        <v>12</v>
      </c>
      <c r="C81" s="1"/>
      <c r="D81" s="1"/>
      <c r="G81" s="88"/>
      <c r="H81" s="89"/>
      <c r="I81" s="25"/>
      <c r="J81" s="25"/>
      <c r="K81" s="88"/>
      <c r="L81" s="89"/>
      <c r="M81" s="89"/>
      <c r="N81" s="25"/>
      <c r="O81" s="244"/>
      <c r="P81" s="25"/>
      <c r="Q81" s="25"/>
      <c r="R81" s="252"/>
    </row>
    <row r="82" spans="1:19" outlineLevel="1" x14ac:dyDescent="0.5">
      <c r="B82" s="85"/>
      <c r="C82" s="2" t="s">
        <v>13</v>
      </c>
      <c r="D82" s="2"/>
      <c r="E82" s="2"/>
      <c r="F82" s="2"/>
      <c r="G82" s="88">
        <v>1</v>
      </c>
      <c r="H82" s="89">
        <v>1</v>
      </c>
      <c r="I82" s="25">
        <v>1</v>
      </c>
      <c r="J82" s="25">
        <v>1</v>
      </c>
      <c r="K82" s="88">
        <v>0</v>
      </c>
      <c r="L82" s="89">
        <v>0</v>
      </c>
      <c r="M82" s="89">
        <v>0</v>
      </c>
      <c r="N82" s="25">
        <v>0</v>
      </c>
      <c r="O82" s="244">
        <v>0</v>
      </c>
      <c r="P82" s="25">
        <v>1</v>
      </c>
      <c r="Q82" s="25">
        <v>0</v>
      </c>
      <c r="R82" s="252">
        <v>1</v>
      </c>
    </row>
    <row r="83" spans="1:19" outlineLevel="1" x14ac:dyDescent="0.5">
      <c r="B83" s="13" t="s">
        <v>14</v>
      </c>
      <c r="C83" s="1"/>
      <c r="D83" s="1"/>
      <c r="G83" s="88"/>
      <c r="H83" s="89"/>
      <c r="I83" s="25"/>
      <c r="J83" s="25"/>
      <c r="K83" s="88"/>
      <c r="L83" s="89"/>
      <c r="M83" s="89"/>
      <c r="N83" s="25"/>
      <c r="O83" s="244"/>
      <c r="P83" s="25"/>
      <c r="Q83" s="25"/>
      <c r="R83" s="252"/>
    </row>
    <row r="84" spans="1:19" outlineLevel="1" x14ac:dyDescent="0.5">
      <c r="B84" s="13"/>
      <c r="C84" s="2" t="s">
        <v>15</v>
      </c>
      <c r="D84" s="1"/>
      <c r="G84" s="88">
        <v>1</v>
      </c>
      <c r="H84" s="89">
        <v>1</v>
      </c>
      <c r="I84" s="25">
        <v>1</v>
      </c>
      <c r="J84" s="25">
        <v>1</v>
      </c>
      <c r="K84" s="88">
        <v>0</v>
      </c>
      <c r="L84" s="89">
        <v>0</v>
      </c>
      <c r="M84" s="89">
        <v>0</v>
      </c>
      <c r="N84" s="25">
        <v>0</v>
      </c>
      <c r="O84" s="244">
        <v>0</v>
      </c>
      <c r="P84" s="25">
        <v>1</v>
      </c>
      <c r="Q84" s="25">
        <v>0</v>
      </c>
      <c r="R84" s="252">
        <v>1</v>
      </c>
    </row>
    <row r="85" spans="1:19" outlineLevel="1" x14ac:dyDescent="0.5">
      <c r="B85" s="13"/>
      <c r="C85" s="2" t="s">
        <v>16</v>
      </c>
      <c r="D85" s="1"/>
      <c r="G85" s="88">
        <v>1</v>
      </c>
      <c r="H85" s="89">
        <v>1</v>
      </c>
      <c r="I85" s="25">
        <v>1</v>
      </c>
      <c r="J85" s="25">
        <v>1</v>
      </c>
      <c r="K85" s="88">
        <v>0</v>
      </c>
      <c r="L85" s="89">
        <v>0</v>
      </c>
      <c r="M85" s="89">
        <v>0</v>
      </c>
      <c r="N85" s="25">
        <v>0</v>
      </c>
      <c r="O85" s="244">
        <v>0</v>
      </c>
      <c r="P85" s="25">
        <v>1</v>
      </c>
      <c r="Q85" s="25">
        <v>0</v>
      </c>
      <c r="R85" s="252">
        <v>1</v>
      </c>
    </row>
    <row r="86" spans="1:19" outlineLevel="1" x14ac:dyDescent="0.5">
      <c r="B86" s="13"/>
      <c r="C86" s="2" t="s">
        <v>17</v>
      </c>
      <c r="D86" s="1"/>
      <c r="G86" s="88">
        <v>1</v>
      </c>
      <c r="H86" s="89">
        <v>1</v>
      </c>
      <c r="I86" s="25">
        <v>1</v>
      </c>
      <c r="J86" s="25">
        <v>1</v>
      </c>
      <c r="K86" s="88">
        <v>0</v>
      </c>
      <c r="L86" s="89">
        <v>0</v>
      </c>
      <c r="M86" s="89">
        <v>0</v>
      </c>
      <c r="N86" s="25">
        <v>0</v>
      </c>
      <c r="O86" s="244">
        <v>0</v>
      </c>
      <c r="P86" s="25">
        <v>1</v>
      </c>
      <c r="Q86" s="25">
        <v>0</v>
      </c>
      <c r="R86" s="252">
        <v>1</v>
      </c>
    </row>
    <row r="87" spans="1:19" outlineLevel="1" x14ac:dyDescent="0.5">
      <c r="B87" s="85"/>
      <c r="C87" s="2" t="s">
        <v>18</v>
      </c>
      <c r="D87" s="1"/>
      <c r="G87" s="88">
        <v>1</v>
      </c>
      <c r="H87" s="89">
        <v>1</v>
      </c>
      <c r="I87" s="25">
        <v>1</v>
      </c>
      <c r="J87" s="25">
        <v>1</v>
      </c>
      <c r="K87" s="88">
        <v>0</v>
      </c>
      <c r="L87" s="89">
        <v>0</v>
      </c>
      <c r="M87" s="89">
        <v>0</v>
      </c>
      <c r="N87" s="25">
        <v>0</v>
      </c>
      <c r="O87" s="244">
        <v>0</v>
      </c>
      <c r="P87" s="25">
        <v>1</v>
      </c>
      <c r="Q87" s="25">
        <v>0</v>
      </c>
      <c r="R87" s="252">
        <v>1</v>
      </c>
    </row>
    <row r="88" spans="1:19" ht="7.1" customHeight="1" outlineLevel="1" x14ac:dyDescent="0.5">
      <c r="B88" s="85"/>
      <c r="C88" s="1"/>
      <c r="D88" s="1"/>
      <c r="G88" s="88"/>
      <c r="H88" s="89"/>
      <c r="I88" s="25"/>
      <c r="J88" s="25"/>
      <c r="K88" s="88"/>
      <c r="L88" s="89"/>
      <c r="M88" s="89"/>
      <c r="N88" s="25"/>
      <c r="O88" s="244"/>
      <c r="P88" s="25"/>
      <c r="Q88" s="25"/>
      <c r="R88" s="252"/>
    </row>
    <row r="89" spans="1:19" s="9" customFormat="1" outlineLevel="1" x14ac:dyDescent="0.5">
      <c r="A89" s="1"/>
      <c r="B89" s="86" t="s">
        <v>19</v>
      </c>
      <c r="E89" s="11"/>
      <c r="F89" s="11"/>
      <c r="G89" s="90"/>
      <c r="H89" s="91"/>
      <c r="I89" s="26"/>
      <c r="J89" s="26"/>
      <c r="K89" s="90"/>
      <c r="L89" s="91"/>
      <c r="M89" s="91"/>
      <c r="N89" s="26"/>
      <c r="O89" s="245"/>
      <c r="P89" s="26"/>
      <c r="Q89" s="26"/>
      <c r="R89" s="253"/>
      <c r="S89" s="1"/>
    </row>
    <row r="90" spans="1:19" outlineLevel="1" x14ac:dyDescent="0.5">
      <c r="B90" s="14" t="s">
        <v>19</v>
      </c>
      <c r="C90" s="1"/>
      <c r="D90" s="1"/>
      <c r="E90" s="2"/>
      <c r="F90" s="2"/>
      <c r="G90" s="88">
        <v>1</v>
      </c>
      <c r="H90" s="89">
        <v>1</v>
      </c>
      <c r="I90" s="25">
        <v>1</v>
      </c>
      <c r="J90" s="25">
        <v>1</v>
      </c>
      <c r="K90" s="88">
        <v>0</v>
      </c>
      <c r="L90" s="89">
        <v>0</v>
      </c>
      <c r="M90" s="89">
        <v>0</v>
      </c>
      <c r="N90" s="25">
        <v>0</v>
      </c>
      <c r="O90" s="244">
        <v>0</v>
      </c>
      <c r="P90" s="25">
        <v>1</v>
      </c>
      <c r="Q90" s="25">
        <v>0</v>
      </c>
      <c r="R90" s="252">
        <v>1</v>
      </c>
    </row>
    <row r="91" spans="1:19" ht="7.1" customHeight="1" outlineLevel="1" x14ac:dyDescent="0.5">
      <c r="B91" s="14"/>
      <c r="C91" s="1"/>
      <c r="D91" s="1"/>
      <c r="E91" s="2"/>
      <c r="F91" s="2"/>
      <c r="G91" s="88"/>
      <c r="H91" s="89"/>
      <c r="I91" s="25"/>
      <c r="J91" s="25"/>
      <c r="K91" s="88"/>
      <c r="L91" s="89"/>
      <c r="M91" s="89"/>
      <c r="N91" s="25"/>
      <c r="O91" s="244"/>
      <c r="P91" s="25"/>
      <c r="Q91" s="25"/>
      <c r="R91" s="252"/>
    </row>
    <row r="92" spans="1:19" s="9" customFormat="1" outlineLevel="1" x14ac:dyDescent="0.5">
      <c r="A92" s="1"/>
      <c r="B92" s="86" t="s">
        <v>25</v>
      </c>
      <c r="G92" s="90"/>
      <c r="H92" s="91"/>
      <c r="I92" s="26"/>
      <c r="J92" s="26"/>
      <c r="K92" s="90"/>
      <c r="L92" s="91"/>
      <c r="M92" s="91"/>
      <c r="N92" s="26"/>
      <c r="O92" s="245"/>
      <c r="P92" s="26"/>
      <c r="Q92" s="26"/>
      <c r="R92" s="253"/>
      <c r="S92" s="1"/>
    </row>
    <row r="93" spans="1:19" outlineLevel="1" x14ac:dyDescent="0.5">
      <c r="B93" s="14" t="s">
        <v>25</v>
      </c>
      <c r="C93" s="1"/>
      <c r="D93" s="1"/>
      <c r="G93" s="88">
        <v>1</v>
      </c>
      <c r="H93" s="89">
        <v>1</v>
      </c>
      <c r="I93" s="25">
        <v>1</v>
      </c>
      <c r="J93" s="25">
        <v>1</v>
      </c>
      <c r="K93" s="88">
        <v>0</v>
      </c>
      <c r="L93" s="89">
        <v>0</v>
      </c>
      <c r="M93" s="89">
        <v>0</v>
      </c>
      <c r="N93" s="25">
        <v>0</v>
      </c>
      <c r="O93" s="244">
        <v>0</v>
      </c>
      <c r="P93" s="25">
        <v>1</v>
      </c>
      <c r="Q93" s="25">
        <v>0</v>
      </c>
      <c r="R93" s="252">
        <v>1</v>
      </c>
    </row>
    <row r="94" spans="1:19" ht="7.1" customHeight="1" outlineLevel="1" x14ac:dyDescent="0.5">
      <c r="B94" s="14"/>
      <c r="C94" s="1"/>
      <c r="D94" s="1"/>
      <c r="G94" s="88"/>
      <c r="H94" s="89"/>
      <c r="I94" s="25"/>
      <c r="J94" s="25"/>
      <c r="K94" s="88"/>
      <c r="L94" s="89"/>
      <c r="M94" s="89"/>
      <c r="N94" s="25"/>
      <c r="O94" s="244"/>
      <c r="P94" s="25"/>
      <c r="Q94" s="25"/>
      <c r="R94" s="252"/>
    </row>
    <row r="95" spans="1:19" s="9" customFormat="1" outlineLevel="1" x14ac:dyDescent="0.5">
      <c r="A95" s="1"/>
      <c r="B95" s="86" t="s">
        <v>4</v>
      </c>
      <c r="G95" s="90"/>
      <c r="H95" s="91"/>
      <c r="I95" s="26"/>
      <c r="J95" s="26"/>
      <c r="K95" s="90"/>
      <c r="L95" s="91"/>
      <c r="M95" s="91"/>
      <c r="N95" s="26"/>
      <c r="O95" s="245"/>
      <c r="P95" s="26"/>
      <c r="Q95" s="26"/>
      <c r="R95" s="253"/>
      <c r="S95" s="1"/>
    </row>
    <row r="96" spans="1:19" outlineLevel="1" x14ac:dyDescent="0.5">
      <c r="B96" s="14" t="s">
        <v>20</v>
      </c>
      <c r="C96" s="1"/>
      <c r="D96" s="1"/>
      <c r="E96" s="2"/>
      <c r="F96" s="2"/>
      <c r="G96" s="88">
        <v>1</v>
      </c>
      <c r="H96" s="89">
        <v>1</v>
      </c>
      <c r="I96" s="25">
        <v>1</v>
      </c>
      <c r="J96" s="25">
        <v>1</v>
      </c>
      <c r="K96" s="88">
        <v>0</v>
      </c>
      <c r="L96" s="89">
        <v>0</v>
      </c>
      <c r="M96" s="89">
        <v>0</v>
      </c>
      <c r="N96" s="25">
        <v>0</v>
      </c>
      <c r="O96" s="244">
        <v>0</v>
      </c>
      <c r="P96" s="25">
        <v>1</v>
      </c>
      <c r="Q96" s="25">
        <v>0</v>
      </c>
      <c r="R96" s="252">
        <v>1</v>
      </c>
    </row>
    <row r="97" spans="1:19" outlineLevel="1" x14ac:dyDescent="0.5">
      <c r="B97" s="14" t="s">
        <v>11</v>
      </c>
      <c r="C97" s="1"/>
      <c r="D97" s="1"/>
      <c r="E97" s="2"/>
      <c r="F97" s="2"/>
      <c r="G97" s="88">
        <v>1</v>
      </c>
      <c r="H97" s="89">
        <v>1</v>
      </c>
      <c r="I97" s="25">
        <v>1</v>
      </c>
      <c r="J97" s="25">
        <v>1</v>
      </c>
      <c r="K97" s="88">
        <v>0</v>
      </c>
      <c r="L97" s="89">
        <v>0</v>
      </c>
      <c r="M97" s="89">
        <v>0</v>
      </c>
      <c r="N97" s="25">
        <v>0</v>
      </c>
      <c r="O97" s="244">
        <v>0</v>
      </c>
      <c r="P97" s="25">
        <v>1</v>
      </c>
      <c r="Q97" s="25">
        <v>0</v>
      </c>
      <c r="R97" s="252">
        <v>1</v>
      </c>
    </row>
    <row r="98" spans="1:19" ht="14.7" outlineLevel="1" thickBot="1" x14ac:dyDescent="0.55000000000000004">
      <c r="B98" s="38" t="s">
        <v>55</v>
      </c>
      <c r="C98" s="16"/>
      <c r="D98" s="16"/>
      <c r="E98" s="15"/>
      <c r="F98" s="15"/>
      <c r="G98" s="92">
        <v>1</v>
      </c>
      <c r="H98" s="27">
        <v>1</v>
      </c>
      <c r="I98" s="27">
        <v>1</v>
      </c>
      <c r="J98" s="27">
        <v>1</v>
      </c>
      <c r="K98" s="92">
        <v>0</v>
      </c>
      <c r="L98" s="27">
        <v>0</v>
      </c>
      <c r="M98" s="27">
        <v>0</v>
      </c>
      <c r="N98" s="27">
        <v>0</v>
      </c>
      <c r="O98" s="246">
        <v>0</v>
      </c>
      <c r="P98" s="27">
        <v>1</v>
      </c>
      <c r="Q98" s="27">
        <v>0</v>
      </c>
      <c r="R98" s="254">
        <v>1</v>
      </c>
    </row>
    <row r="99" spans="1:19" outlineLevel="1" x14ac:dyDescent="0.5"/>
    <row r="100" spans="1:19" ht="14.7" thickBot="1" x14ac:dyDescent="0.55000000000000004"/>
    <row r="101" spans="1:19" ht="14.7" thickBot="1" x14ac:dyDescent="0.55000000000000004">
      <c r="B101" s="124" t="s">
        <v>185</v>
      </c>
      <c r="C101" s="125"/>
      <c r="D101" s="125"/>
      <c r="E101" s="126"/>
      <c r="F101" s="126"/>
      <c r="G101" s="127"/>
      <c r="H101" s="237"/>
      <c r="I101" s="128"/>
      <c r="J101" s="128"/>
      <c r="K101" s="128"/>
      <c r="L101" s="128"/>
      <c r="M101" s="128"/>
      <c r="N101" s="128"/>
      <c r="O101" s="237"/>
      <c r="P101" s="128"/>
      <c r="Q101" s="128"/>
      <c r="R101" s="247"/>
    </row>
    <row r="102" spans="1:19" s="9" customFormat="1" outlineLevel="1" x14ac:dyDescent="0.5">
      <c r="A102" s="1"/>
      <c r="B102" s="84" t="s">
        <v>21</v>
      </c>
      <c r="C102" s="77"/>
      <c r="D102" s="77"/>
      <c r="G102" s="50"/>
      <c r="H102" s="60"/>
      <c r="I102" s="60"/>
      <c r="J102" s="238"/>
      <c r="K102" s="60"/>
      <c r="L102" s="60"/>
      <c r="M102" s="60"/>
      <c r="N102" s="20"/>
      <c r="O102" s="238"/>
      <c r="P102" s="20"/>
      <c r="Q102" s="20"/>
      <c r="R102" s="248"/>
      <c r="S102" s="1"/>
    </row>
    <row r="103" spans="1:19" outlineLevel="1" x14ac:dyDescent="0.5">
      <c r="B103" s="14" t="s">
        <v>59</v>
      </c>
      <c r="C103" s="1"/>
      <c r="D103" s="1"/>
      <c r="G103" s="52"/>
      <c r="H103" s="61"/>
      <c r="I103" s="61"/>
      <c r="J103" s="239"/>
      <c r="K103" s="61"/>
      <c r="L103" s="61"/>
      <c r="M103" s="61"/>
      <c r="N103" s="21"/>
      <c r="O103" s="239"/>
      <c r="P103" s="21"/>
      <c r="Q103" s="21"/>
      <c r="R103" s="249"/>
    </row>
    <row r="104" spans="1:19" outlineLevel="1" x14ac:dyDescent="0.5">
      <c r="B104" s="14"/>
      <c r="C104" s="2" t="s">
        <v>52</v>
      </c>
      <c r="D104" s="1"/>
      <c r="G104" s="52">
        <v>1</v>
      </c>
      <c r="H104" s="61">
        <v>1</v>
      </c>
      <c r="I104" s="21">
        <v>0</v>
      </c>
      <c r="J104" s="239">
        <v>0</v>
      </c>
      <c r="K104" s="61">
        <v>0</v>
      </c>
      <c r="L104" s="61">
        <v>0</v>
      </c>
      <c r="M104" s="61">
        <v>0</v>
      </c>
      <c r="N104" s="21">
        <v>0</v>
      </c>
      <c r="O104" s="239">
        <v>0</v>
      </c>
      <c r="P104" s="21">
        <v>0</v>
      </c>
      <c r="Q104" s="21">
        <v>0</v>
      </c>
      <c r="R104" s="249">
        <v>0</v>
      </c>
    </row>
    <row r="105" spans="1:19" outlineLevel="1" x14ac:dyDescent="0.5">
      <c r="B105" s="85"/>
      <c r="C105" s="2" t="s">
        <v>58</v>
      </c>
      <c r="D105" s="1"/>
      <c r="G105" s="52">
        <v>0.5</v>
      </c>
      <c r="H105" s="61">
        <v>0</v>
      </c>
      <c r="I105" s="21">
        <v>0</v>
      </c>
      <c r="J105" s="239">
        <v>0</v>
      </c>
      <c r="K105" s="61">
        <v>0</v>
      </c>
      <c r="L105" s="61">
        <v>0</v>
      </c>
      <c r="M105" s="61">
        <v>0</v>
      </c>
      <c r="N105" s="21">
        <v>0</v>
      </c>
      <c r="O105" s="239">
        <v>0</v>
      </c>
      <c r="P105" s="21">
        <v>0</v>
      </c>
      <c r="Q105" s="21">
        <v>0</v>
      </c>
      <c r="R105" s="249">
        <v>0</v>
      </c>
    </row>
    <row r="106" spans="1:19" outlineLevel="1" x14ac:dyDescent="0.5">
      <c r="B106" s="14" t="s">
        <v>5</v>
      </c>
      <c r="C106" s="1"/>
      <c r="D106" s="1"/>
      <c r="E106" s="2"/>
      <c r="F106" s="2"/>
      <c r="G106" s="52">
        <v>0.5</v>
      </c>
      <c r="H106" s="61">
        <v>1</v>
      </c>
      <c r="I106" s="21">
        <v>1</v>
      </c>
      <c r="J106" s="239">
        <v>1</v>
      </c>
      <c r="K106" s="61">
        <v>0</v>
      </c>
      <c r="L106" s="61">
        <v>0</v>
      </c>
      <c r="M106" s="61">
        <v>0</v>
      </c>
      <c r="N106" s="21">
        <v>0</v>
      </c>
      <c r="O106" s="239">
        <v>0</v>
      </c>
      <c r="P106" s="21">
        <v>1</v>
      </c>
      <c r="Q106" s="21">
        <v>0</v>
      </c>
      <c r="R106" s="249">
        <v>0</v>
      </c>
    </row>
    <row r="107" spans="1:19" outlineLevel="1" x14ac:dyDescent="0.5">
      <c r="B107" s="14" t="s">
        <v>6</v>
      </c>
      <c r="C107" s="1"/>
      <c r="D107" s="1"/>
      <c r="G107" s="52">
        <v>0.5</v>
      </c>
      <c r="H107" s="61">
        <v>0</v>
      </c>
      <c r="I107" s="21">
        <v>1</v>
      </c>
      <c r="J107" s="239">
        <v>1</v>
      </c>
      <c r="K107" s="61">
        <v>0</v>
      </c>
      <c r="L107" s="61">
        <v>0</v>
      </c>
      <c r="M107" s="61">
        <v>0</v>
      </c>
      <c r="N107" s="21">
        <v>0</v>
      </c>
      <c r="O107" s="239">
        <v>0</v>
      </c>
      <c r="P107" s="21">
        <v>0</v>
      </c>
      <c r="Q107" s="21">
        <v>0</v>
      </c>
      <c r="R107" s="249">
        <v>0</v>
      </c>
    </row>
    <row r="108" spans="1:19" ht="7.1" customHeight="1" outlineLevel="1" x14ac:dyDescent="0.5">
      <c r="B108" s="85"/>
      <c r="C108" s="1"/>
      <c r="D108" s="1"/>
      <c r="G108" s="52"/>
      <c r="H108" s="61"/>
      <c r="I108" s="21"/>
      <c r="J108" s="239"/>
      <c r="K108" s="61"/>
      <c r="L108" s="61"/>
      <c r="M108" s="61"/>
      <c r="N108" s="21"/>
      <c r="O108" s="239"/>
      <c r="P108" s="21"/>
      <c r="Q108" s="21"/>
      <c r="R108" s="249"/>
    </row>
    <row r="109" spans="1:19" s="9" customFormat="1" outlineLevel="1" x14ac:dyDescent="0.5">
      <c r="A109" s="1"/>
      <c r="B109" s="86" t="s">
        <v>22</v>
      </c>
      <c r="G109" s="51"/>
      <c r="H109" s="62"/>
      <c r="I109" s="22"/>
      <c r="J109" s="240"/>
      <c r="K109" s="62"/>
      <c r="L109" s="62"/>
      <c r="M109" s="62"/>
      <c r="N109" s="22"/>
      <c r="O109" s="240"/>
      <c r="P109" s="22"/>
      <c r="Q109" s="22"/>
      <c r="R109" s="250"/>
      <c r="S109" s="1"/>
    </row>
    <row r="110" spans="1:19" outlineLevel="1" x14ac:dyDescent="0.5">
      <c r="B110" s="14" t="s">
        <v>53</v>
      </c>
      <c r="C110" s="1"/>
      <c r="D110" s="1"/>
      <c r="G110" s="52"/>
      <c r="H110" s="61"/>
      <c r="I110" s="21"/>
      <c r="J110" s="239"/>
      <c r="K110" s="61"/>
      <c r="L110" s="61"/>
      <c r="M110" s="61"/>
      <c r="N110" s="21"/>
      <c r="O110" s="239"/>
      <c r="P110" s="21"/>
      <c r="Q110" s="21"/>
      <c r="R110" s="249"/>
    </row>
    <row r="111" spans="1:19" outlineLevel="1" x14ac:dyDescent="0.5">
      <c r="B111" s="14"/>
      <c r="C111" s="2" t="s">
        <v>47</v>
      </c>
      <c r="D111" s="1"/>
      <c r="G111" s="52">
        <v>0</v>
      </c>
      <c r="H111" s="61">
        <v>0</v>
      </c>
      <c r="I111" s="21">
        <v>0</v>
      </c>
      <c r="J111" s="239">
        <v>0</v>
      </c>
      <c r="K111" s="61">
        <v>0</v>
      </c>
      <c r="L111" s="61">
        <v>0</v>
      </c>
      <c r="M111" s="61">
        <v>0</v>
      </c>
      <c r="N111" s="21">
        <v>0</v>
      </c>
      <c r="O111" s="239">
        <v>0</v>
      </c>
      <c r="P111" s="21">
        <v>1</v>
      </c>
      <c r="Q111" s="21">
        <v>0</v>
      </c>
      <c r="R111" s="249">
        <v>1</v>
      </c>
    </row>
    <row r="112" spans="1:19" outlineLevel="1" x14ac:dyDescent="0.5">
      <c r="B112" s="85"/>
      <c r="C112" s="2" t="s">
        <v>48</v>
      </c>
      <c r="D112" s="1"/>
      <c r="E112" s="2"/>
      <c r="F112" s="2"/>
      <c r="G112" s="52">
        <v>0</v>
      </c>
      <c r="H112" s="61">
        <v>0</v>
      </c>
      <c r="I112" s="21">
        <v>0</v>
      </c>
      <c r="J112" s="239">
        <v>0</v>
      </c>
      <c r="K112" s="61">
        <v>0</v>
      </c>
      <c r="L112" s="61">
        <v>0</v>
      </c>
      <c r="M112" s="61">
        <v>0</v>
      </c>
      <c r="N112" s="21">
        <v>0</v>
      </c>
      <c r="O112" s="239">
        <v>0</v>
      </c>
      <c r="P112" s="21">
        <v>1</v>
      </c>
      <c r="Q112" s="21">
        <v>0</v>
      </c>
      <c r="R112" s="249">
        <v>1</v>
      </c>
    </row>
    <row r="113" spans="1:19" outlineLevel="1" x14ac:dyDescent="0.5">
      <c r="B113" s="14" t="s">
        <v>46</v>
      </c>
      <c r="C113" s="2"/>
      <c r="D113" s="1"/>
      <c r="E113" s="2"/>
      <c r="F113" s="2"/>
      <c r="G113" s="52">
        <v>0</v>
      </c>
      <c r="H113" s="61">
        <v>0</v>
      </c>
      <c r="I113" s="21">
        <v>0</v>
      </c>
      <c r="J113" s="239">
        <v>0</v>
      </c>
      <c r="K113" s="61">
        <v>0</v>
      </c>
      <c r="L113" s="61">
        <v>0</v>
      </c>
      <c r="M113" s="61">
        <v>0</v>
      </c>
      <c r="N113" s="21">
        <v>0</v>
      </c>
      <c r="O113" s="239">
        <v>0</v>
      </c>
      <c r="P113" s="21">
        <v>1</v>
      </c>
      <c r="Q113" s="21">
        <v>0</v>
      </c>
      <c r="R113" s="249">
        <v>1</v>
      </c>
    </row>
    <row r="114" spans="1:19" outlineLevel="1" x14ac:dyDescent="0.5">
      <c r="B114" s="14" t="s">
        <v>8</v>
      </c>
      <c r="C114" s="1"/>
      <c r="D114" s="1"/>
      <c r="E114" s="2"/>
      <c r="F114" s="2"/>
      <c r="G114" s="52">
        <v>0</v>
      </c>
      <c r="H114" s="61">
        <v>0</v>
      </c>
      <c r="I114" s="21">
        <v>1</v>
      </c>
      <c r="J114" s="239">
        <v>0</v>
      </c>
      <c r="K114" s="61">
        <v>0</v>
      </c>
      <c r="L114" s="61">
        <v>0</v>
      </c>
      <c r="M114" s="61">
        <v>0</v>
      </c>
      <c r="N114" s="21">
        <v>0</v>
      </c>
      <c r="O114" s="239">
        <v>0</v>
      </c>
      <c r="P114" s="21">
        <v>1</v>
      </c>
      <c r="Q114" s="21">
        <v>0</v>
      </c>
      <c r="R114" s="249">
        <v>1</v>
      </c>
    </row>
    <row r="115" spans="1:19" ht="7.1" customHeight="1" outlineLevel="1" x14ac:dyDescent="0.5">
      <c r="B115" s="85"/>
      <c r="C115" s="1"/>
      <c r="D115" s="1"/>
      <c r="E115" s="2"/>
      <c r="F115" s="2"/>
      <c r="G115" s="52"/>
      <c r="H115" s="61"/>
      <c r="I115" s="21"/>
      <c r="J115" s="239"/>
      <c r="K115" s="61"/>
      <c r="L115" s="61"/>
      <c r="M115" s="61"/>
      <c r="N115" s="21"/>
      <c r="O115" s="239"/>
      <c r="P115" s="21"/>
      <c r="Q115" s="21"/>
      <c r="R115" s="249"/>
    </row>
    <row r="116" spans="1:19" s="9" customFormat="1" outlineLevel="1" x14ac:dyDescent="0.5">
      <c r="A116" s="1"/>
      <c r="B116" s="84" t="s">
        <v>23</v>
      </c>
      <c r="G116" s="51"/>
      <c r="H116" s="62"/>
      <c r="I116" s="22"/>
      <c r="J116" s="240"/>
      <c r="K116" s="62"/>
      <c r="L116" s="62"/>
      <c r="M116" s="62"/>
      <c r="N116" s="22"/>
      <c r="O116" s="240"/>
      <c r="P116" s="22"/>
      <c r="Q116" s="22"/>
      <c r="R116" s="250"/>
      <c r="S116" s="1"/>
    </row>
    <row r="117" spans="1:19" outlineLevel="1" x14ac:dyDescent="0.5">
      <c r="B117" s="14" t="s">
        <v>54</v>
      </c>
      <c r="C117" s="1"/>
      <c r="D117" s="1"/>
      <c r="E117" s="2"/>
      <c r="F117" s="2"/>
      <c r="G117" s="52">
        <v>0</v>
      </c>
      <c r="H117" s="61">
        <v>1</v>
      </c>
      <c r="I117" s="21">
        <v>0</v>
      </c>
      <c r="J117" s="239">
        <v>0</v>
      </c>
      <c r="K117" s="61">
        <v>0</v>
      </c>
      <c r="L117" s="61">
        <v>0</v>
      </c>
      <c r="M117" s="61">
        <v>0</v>
      </c>
      <c r="N117" s="21">
        <v>0</v>
      </c>
      <c r="O117" s="239">
        <v>0</v>
      </c>
      <c r="P117" s="21">
        <v>0</v>
      </c>
      <c r="Q117" s="21">
        <v>0</v>
      </c>
      <c r="R117" s="249">
        <v>0</v>
      </c>
    </row>
    <row r="118" spans="1:19" outlineLevel="1" x14ac:dyDescent="0.5">
      <c r="B118" s="14" t="s">
        <v>9</v>
      </c>
      <c r="C118" s="1"/>
      <c r="D118" s="1"/>
      <c r="E118" s="2"/>
      <c r="F118" s="2"/>
      <c r="G118" s="52">
        <v>0.5</v>
      </c>
      <c r="H118" s="61">
        <v>0</v>
      </c>
      <c r="I118" s="21">
        <v>0</v>
      </c>
      <c r="J118" s="239">
        <v>0</v>
      </c>
      <c r="K118" s="61">
        <v>0</v>
      </c>
      <c r="L118" s="61">
        <v>0</v>
      </c>
      <c r="M118" s="61">
        <v>0</v>
      </c>
      <c r="N118" s="21">
        <v>0</v>
      </c>
      <c r="O118" s="239">
        <v>0</v>
      </c>
      <c r="P118" s="21">
        <v>0</v>
      </c>
      <c r="Q118" s="21">
        <v>0</v>
      </c>
      <c r="R118" s="249">
        <v>0</v>
      </c>
    </row>
    <row r="119" spans="1:19" ht="7.1" customHeight="1" outlineLevel="1" x14ac:dyDescent="0.5">
      <c r="B119" s="85"/>
      <c r="C119" s="1"/>
      <c r="D119" s="1"/>
      <c r="G119" s="52"/>
      <c r="H119" s="61"/>
      <c r="I119" s="21"/>
      <c r="J119" s="239"/>
      <c r="K119" s="61"/>
      <c r="L119" s="61"/>
      <c r="M119" s="61"/>
      <c r="N119" s="21"/>
      <c r="O119" s="239"/>
      <c r="P119" s="21"/>
      <c r="Q119" s="21"/>
      <c r="R119" s="249"/>
    </row>
    <row r="120" spans="1:19" s="9" customFormat="1" outlineLevel="1" x14ac:dyDescent="0.5">
      <c r="A120" s="1"/>
      <c r="B120" s="84" t="s">
        <v>10</v>
      </c>
      <c r="G120" s="51"/>
      <c r="H120" s="62"/>
      <c r="I120" s="22"/>
      <c r="J120" s="240"/>
      <c r="K120" s="62"/>
      <c r="L120" s="62"/>
      <c r="M120" s="62"/>
      <c r="N120" s="22"/>
      <c r="O120" s="240"/>
      <c r="P120" s="22"/>
      <c r="Q120" s="22"/>
      <c r="R120" s="250"/>
      <c r="S120" s="1"/>
    </row>
    <row r="121" spans="1:19" outlineLevel="1" x14ac:dyDescent="0.5">
      <c r="B121" s="14" t="s">
        <v>49</v>
      </c>
      <c r="D121" s="1"/>
      <c r="G121" s="52">
        <v>0.5</v>
      </c>
      <c r="H121" s="61">
        <v>0</v>
      </c>
      <c r="I121" s="21">
        <v>0</v>
      </c>
      <c r="J121" s="239">
        <v>0</v>
      </c>
      <c r="K121" s="61">
        <v>0</v>
      </c>
      <c r="L121" s="61">
        <v>0</v>
      </c>
      <c r="M121" s="61">
        <v>0</v>
      </c>
      <c r="N121" s="21">
        <v>0</v>
      </c>
      <c r="O121" s="239">
        <v>0</v>
      </c>
      <c r="P121" s="21">
        <v>1</v>
      </c>
      <c r="Q121" s="21">
        <v>0</v>
      </c>
      <c r="R121" s="249">
        <v>0</v>
      </c>
    </row>
    <row r="122" spans="1:19" outlineLevel="1" x14ac:dyDescent="0.5">
      <c r="B122" s="14" t="s">
        <v>50</v>
      </c>
      <c r="D122" s="1"/>
      <c r="G122" s="52">
        <v>0.5</v>
      </c>
      <c r="H122" s="61">
        <v>0</v>
      </c>
      <c r="I122" s="21">
        <v>0</v>
      </c>
      <c r="J122" s="239">
        <v>0</v>
      </c>
      <c r="K122" s="61">
        <v>0</v>
      </c>
      <c r="L122" s="61">
        <v>0</v>
      </c>
      <c r="M122" s="61">
        <v>0</v>
      </c>
      <c r="N122" s="21">
        <v>0</v>
      </c>
      <c r="O122" s="239">
        <v>0</v>
      </c>
      <c r="P122" s="21">
        <v>1</v>
      </c>
      <c r="Q122" s="21">
        <v>0</v>
      </c>
      <c r="R122" s="249">
        <v>0</v>
      </c>
    </row>
    <row r="123" spans="1:19" ht="7.1" customHeight="1" outlineLevel="1" x14ac:dyDescent="0.5">
      <c r="B123" s="85"/>
      <c r="C123" s="1"/>
      <c r="D123" s="1"/>
      <c r="G123" s="52"/>
      <c r="H123" s="61"/>
      <c r="I123" s="21"/>
      <c r="J123" s="239"/>
      <c r="K123" s="61"/>
      <c r="L123" s="61"/>
      <c r="M123" s="61"/>
      <c r="N123" s="21"/>
      <c r="O123" s="239"/>
      <c r="P123" s="21"/>
      <c r="Q123" s="21"/>
      <c r="R123" s="249"/>
    </row>
    <row r="124" spans="1:19" s="9" customFormat="1" outlineLevel="1" x14ac:dyDescent="0.5">
      <c r="A124" s="1"/>
      <c r="B124" s="84" t="s">
        <v>24</v>
      </c>
      <c r="G124" s="51"/>
      <c r="H124" s="62"/>
      <c r="I124" s="22"/>
      <c r="J124" s="240"/>
      <c r="K124" s="62"/>
      <c r="L124" s="62"/>
      <c r="M124" s="62"/>
      <c r="N124" s="22"/>
      <c r="O124" s="240"/>
      <c r="P124" s="22"/>
      <c r="Q124" s="22"/>
      <c r="R124" s="250"/>
      <c r="S124" s="1"/>
    </row>
    <row r="125" spans="1:19" outlineLevel="1" x14ac:dyDescent="0.5">
      <c r="B125" s="14" t="s">
        <v>12</v>
      </c>
      <c r="C125" s="1"/>
      <c r="D125" s="1"/>
      <c r="G125" s="52"/>
      <c r="H125" s="61"/>
      <c r="I125" s="21"/>
      <c r="J125" s="239"/>
      <c r="K125" s="61"/>
      <c r="L125" s="61"/>
      <c r="M125" s="61"/>
      <c r="N125" s="21"/>
      <c r="O125" s="239"/>
      <c r="P125" s="21"/>
      <c r="Q125" s="21"/>
      <c r="R125" s="249"/>
    </row>
    <row r="126" spans="1:19" outlineLevel="1" x14ac:dyDescent="0.5">
      <c r="B126" s="85"/>
      <c r="C126" s="2" t="s">
        <v>13</v>
      </c>
      <c r="D126" s="2"/>
      <c r="E126" s="2"/>
      <c r="F126" s="2"/>
      <c r="G126" s="52">
        <v>0.5</v>
      </c>
      <c r="H126" s="61">
        <v>0</v>
      </c>
      <c r="I126" s="21">
        <v>1</v>
      </c>
      <c r="J126" s="239">
        <v>1</v>
      </c>
      <c r="K126" s="61">
        <v>0</v>
      </c>
      <c r="L126" s="61">
        <v>0</v>
      </c>
      <c r="M126" s="61">
        <v>0</v>
      </c>
      <c r="N126" s="21">
        <v>0</v>
      </c>
      <c r="O126" s="239">
        <v>0</v>
      </c>
      <c r="P126" s="21">
        <v>0</v>
      </c>
      <c r="Q126" s="21">
        <v>0</v>
      </c>
      <c r="R126" s="249">
        <v>0</v>
      </c>
    </row>
    <row r="127" spans="1:19" outlineLevel="1" x14ac:dyDescent="0.5">
      <c r="B127" s="13" t="s">
        <v>14</v>
      </c>
      <c r="C127" s="1"/>
      <c r="D127" s="1"/>
      <c r="G127" s="52"/>
      <c r="H127" s="61"/>
      <c r="I127" s="21"/>
      <c r="J127" s="239"/>
      <c r="K127" s="61"/>
      <c r="L127" s="61"/>
      <c r="M127" s="61"/>
      <c r="N127" s="21"/>
      <c r="O127" s="239"/>
      <c r="P127" s="21"/>
      <c r="Q127" s="21"/>
      <c r="R127" s="249"/>
    </row>
    <row r="128" spans="1:19" outlineLevel="1" x14ac:dyDescent="0.5">
      <c r="B128" s="13"/>
      <c r="C128" s="2" t="s">
        <v>15</v>
      </c>
      <c r="D128" s="1"/>
      <c r="G128" s="52">
        <v>0</v>
      </c>
      <c r="H128" s="61">
        <v>0</v>
      </c>
      <c r="I128" s="21">
        <v>0</v>
      </c>
      <c r="J128" s="239">
        <v>0</v>
      </c>
      <c r="K128" s="61">
        <v>0</v>
      </c>
      <c r="L128" s="61">
        <v>0</v>
      </c>
      <c r="M128" s="61">
        <v>0</v>
      </c>
      <c r="N128" s="21">
        <v>0</v>
      </c>
      <c r="O128" s="239">
        <v>0</v>
      </c>
      <c r="P128" s="21">
        <v>1</v>
      </c>
      <c r="Q128" s="21">
        <v>0</v>
      </c>
      <c r="R128" s="249">
        <v>0</v>
      </c>
    </row>
    <row r="129" spans="1:19" outlineLevel="1" x14ac:dyDescent="0.5">
      <c r="B129" s="13"/>
      <c r="C129" s="2" t="s">
        <v>16</v>
      </c>
      <c r="D129" s="1"/>
      <c r="G129" s="52">
        <v>1</v>
      </c>
      <c r="H129" s="61">
        <v>1</v>
      </c>
      <c r="I129" s="21">
        <v>0</v>
      </c>
      <c r="J129" s="239">
        <v>0</v>
      </c>
      <c r="K129" s="61">
        <v>0</v>
      </c>
      <c r="L129" s="61">
        <v>0</v>
      </c>
      <c r="M129" s="61">
        <v>0</v>
      </c>
      <c r="N129" s="21">
        <v>0</v>
      </c>
      <c r="O129" s="239">
        <v>0</v>
      </c>
      <c r="P129" s="21">
        <v>1</v>
      </c>
      <c r="Q129" s="21">
        <v>0</v>
      </c>
      <c r="R129" s="249">
        <v>0</v>
      </c>
    </row>
    <row r="130" spans="1:19" outlineLevel="1" x14ac:dyDescent="0.5">
      <c r="B130" s="13"/>
      <c r="C130" s="2" t="s">
        <v>17</v>
      </c>
      <c r="D130" s="1"/>
      <c r="G130" s="52">
        <v>0</v>
      </c>
      <c r="H130" s="61">
        <v>0</v>
      </c>
      <c r="I130" s="21">
        <v>0</v>
      </c>
      <c r="J130" s="239">
        <v>0</v>
      </c>
      <c r="K130" s="61">
        <v>0</v>
      </c>
      <c r="L130" s="61">
        <v>0</v>
      </c>
      <c r="M130" s="61">
        <v>0</v>
      </c>
      <c r="N130" s="21">
        <v>0</v>
      </c>
      <c r="O130" s="239">
        <v>0</v>
      </c>
      <c r="P130" s="21">
        <v>0</v>
      </c>
      <c r="Q130" s="21">
        <v>0</v>
      </c>
      <c r="R130" s="249">
        <v>0</v>
      </c>
    </row>
    <row r="131" spans="1:19" outlineLevel="1" x14ac:dyDescent="0.5">
      <c r="B131" s="85"/>
      <c r="C131" s="2" t="s">
        <v>18</v>
      </c>
      <c r="D131" s="1"/>
      <c r="G131" s="52">
        <v>0</v>
      </c>
      <c r="H131" s="61">
        <v>0</v>
      </c>
      <c r="I131" s="21">
        <v>0</v>
      </c>
      <c r="J131" s="239">
        <v>0</v>
      </c>
      <c r="K131" s="61">
        <v>0</v>
      </c>
      <c r="L131" s="61">
        <v>0</v>
      </c>
      <c r="M131" s="61">
        <v>0</v>
      </c>
      <c r="N131" s="21">
        <v>0</v>
      </c>
      <c r="O131" s="239">
        <v>0</v>
      </c>
      <c r="P131" s="21">
        <v>0</v>
      </c>
      <c r="Q131" s="21">
        <v>0</v>
      </c>
      <c r="R131" s="249">
        <v>1</v>
      </c>
    </row>
    <row r="132" spans="1:19" ht="7.1" customHeight="1" outlineLevel="1" x14ac:dyDescent="0.5">
      <c r="B132" s="85"/>
      <c r="C132" s="1"/>
      <c r="D132" s="1"/>
      <c r="G132" s="52"/>
      <c r="H132" s="61"/>
      <c r="I132" s="21"/>
      <c r="J132" s="239"/>
      <c r="K132" s="61"/>
      <c r="L132" s="61"/>
      <c r="M132" s="61"/>
      <c r="N132" s="21"/>
      <c r="O132" s="239"/>
      <c r="P132" s="21"/>
      <c r="Q132" s="21"/>
      <c r="R132" s="249"/>
    </row>
    <row r="133" spans="1:19" s="9" customFormat="1" outlineLevel="1" x14ac:dyDescent="0.5">
      <c r="A133" s="1"/>
      <c r="B133" s="86" t="s">
        <v>19</v>
      </c>
      <c r="E133" s="11"/>
      <c r="F133" s="11"/>
      <c r="G133" s="51"/>
      <c r="H133" s="62"/>
      <c r="I133" s="22"/>
      <c r="J133" s="240"/>
      <c r="K133" s="62"/>
      <c r="L133" s="62"/>
      <c r="M133" s="62"/>
      <c r="N133" s="22"/>
      <c r="O133" s="240"/>
      <c r="P133" s="22"/>
      <c r="Q133" s="22"/>
      <c r="R133" s="250"/>
      <c r="S133" s="1"/>
    </row>
    <row r="134" spans="1:19" outlineLevel="1" x14ac:dyDescent="0.5">
      <c r="B134" s="14" t="s">
        <v>19</v>
      </c>
      <c r="C134" s="1"/>
      <c r="D134" s="1"/>
      <c r="E134" s="2"/>
      <c r="F134" s="2"/>
      <c r="G134" s="52">
        <v>0</v>
      </c>
      <c r="H134" s="61">
        <v>1</v>
      </c>
      <c r="I134" s="21">
        <v>0</v>
      </c>
      <c r="J134" s="239">
        <v>0</v>
      </c>
      <c r="K134" s="61">
        <v>0</v>
      </c>
      <c r="L134" s="61">
        <v>0</v>
      </c>
      <c r="M134" s="61">
        <v>0</v>
      </c>
      <c r="N134" s="21">
        <v>0</v>
      </c>
      <c r="O134" s="239">
        <v>0</v>
      </c>
      <c r="P134" s="21">
        <v>0</v>
      </c>
      <c r="Q134" s="21">
        <v>0</v>
      </c>
      <c r="R134" s="249">
        <v>0</v>
      </c>
    </row>
    <row r="135" spans="1:19" ht="7.1" customHeight="1" outlineLevel="1" x14ac:dyDescent="0.5">
      <c r="B135" s="14"/>
      <c r="C135" s="1"/>
      <c r="D135" s="1"/>
      <c r="E135" s="2"/>
      <c r="F135" s="2"/>
      <c r="G135" s="52"/>
      <c r="H135" s="61"/>
      <c r="I135" s="21"/>
      <c r="J135" s="239"/>
      <c r="K135" s="61"/>
      <c r="L135" s="61"/>
      <c r="M135" s="61"/>
      <c r="N135" s="21"/>
      <c r="O135" s="239"/>
      <c r="P135" s="21"/>
      <c r="Q135" s="21"/>
      <c r="R135" s="249"/>
    </row>
    <row r="136" spans="1:19" s="9" customFormat="1" outlineLevel="1" x14ac:dyDescent="0.5">
      <c r="A136" s="1"/>
      <c r="B136" s="86" t="s">
        <v>25</v>
      </c>
      <c r="G136" s="51"/>
      <c r="H136" s="62"/>
      <c r="I136" s="22"/>
      <c r="J136" s="240"/>
      <c r="K136" s="62"/>
      <c r="L136" s="62"/>
      <c r="M136" s="62"/>
      <c r="N136" s="22"/>
      <c r="O136" s="240"/>
      <c r="P136" s="22"/>
      <c r="Q136" s="22"/>
      <c r="R136" s="250"/>
      <c r="S136" s="1"/>
    </row>
    <row r="137" spans="1:19" outlineLevel="1" x14ac:dyDescent="0.5">
      <c r="B137" s="14" t="s">
        <v>25</v>
      </c>
      <c r="C137" s="1"/>
      <c r="D137" s="1"/>
      <c r="G137" s="52">
        <v>0.5</v>
      </c>
      <c r="H137" s="61">
        <v>0</v>
      </c>
      <c r="I137" s="21">
        <v>0</v>
      </c>
      <c r="J137" s="239">
        <v>0</v>
      </c>
      <c r="K137" s="61">
        <v>0</v>
      </c>
      <c r="L137" s="61">
        <v>0</v>
      </c>
      <c r="M137" s="61">
        <v>0</v>
      </c>
      <c r="N137" s="21">
        <v>0</v>
      </c>
      <c r="O137" s="239">
        <v>0</v>
      </c>
      <c r="P137" s="21">
        <v>0</v>
      </c>
      <c r="Q137" s="21">
        <v>0</v>
      </c>
      <c r="R137" s="249">
        <v>0</v>
      </c>
    </row>
    <row r="138" spans="1:19" ht="7.1" customHeight="1" outlineLevel="1" x14ac:dyDescent="0.5">
      <c r="B138" s="14"/>
      <c r="C138" s="1"/>
      <c r="D138" s="1"/>
      <c r="G138" s="52"/>
      <c r="H138" s="61"/>
      <c r="I138" s="21"/>
      <c r="J138" s="239"/>
      <c r="K138" s="61"/>
      <c r="L138" s="61"/>
      <c r="M138" s="61"/>
      <c r="N138" s="21"/>
      <c r="O138" s="239"/>
      <c r="P138" s="21"/>
      <c r="Q138" s="21"/>
      <c r="R138" s="249"/>
    </row>
    <row r="139" spans="1:19" s="9" customFormat="1" outlineLevel="1" x14ac:dyDescent="0.5">
      <c r="A139" s="1"/>
      <c r="B139" s="86" t="s">
        <v>4</v>
      </c>
      <c r="G139" s="51"/>
      <c r="H139" s="62"/>
      <c r="I139" s="22"/>
      <c r="J139" s="240"/>
      <c r="K139" s="62"/>
      <c r="L139" s="62"/>
      <c r="M139" s="62"/>
      <c r="N139" s="22"/>
      <c r="O139" s="240"/>
      <c r="P139" s="22"/>
      <c r="Q139" s="22"/>
      <c r="R139" s="250"/>
      <c r="S139" s="1"/>
    </row>
    <row r="140" spans="1:19" outlineLevel="1" x14ac:dyDescent="0.5">
      <c r="B140" s="14" t="s">
        <v>20</v>
      </c>
      <c r="C140" s="1"/>
      <c r="D140" s="1"/>
      <c r="E140" s="2"/>
      <c r="F140" s="2"/>
      <c r="G140" s="52">
        <v>0.5</v>
      </c>
      <c r="H140" s="61">
        <v>1</v>
      </c>
      <c r="I140" s="21">
        <v>0</v>
      </c>
      <c r="J140" s="239">
        <v>1</v>
      </c>
      <c r="K140" s="61">
        <v>0</v>
      </c>
      <c r="L140" s="61">
        <v>0</v>
      </c>
      <c r="M140" s="61">
        <v>0</v>
      </c>
      <c r="N140" s="21">
        <v>0</v>
      </c>
      <c r="O140" s="239">
        <v>0</v>
      </c>
      <c r="P140" s="21">
        <v>0</v>
      </c>
      <c r="Q140" s="21">
        <v>0</v>
      </c>
      <c r="R140" s="249">
        <v>0</v>
      </c>
    </row>
    <row r="141" spans="1:19" outlineLevel="1" x14ac:dyDescent="0.5">
      <c r="B141" s="14" t="s">
        <v>11</v>
      </c>
      <c r="C141" s="1"/>
      <c r="D141" s="1"/>
      <c r="E141" s="2"/>
      <c r="F141" s="2"/>
      <c r="G141" s="52">
        <v>1</v>
      </c>
      <c r="H141" s="61">
        <v>0</v>
      </c>
      <c r="I141" s="21">
        <v>0</v>
      </c>
      <c r="J141" s="239">
        <v>0</v>
      </c>
      <c r="K141" s="61">
        <v>0</v>
      </c>
      <c r="L141" s="61">
        <v>0</v>
      </c>
      <c r="M141" s="61">
        <v>0</v>
      </c>
      <c r="N141" s="21">
        <v>0</v>
      </c>
      <c r="O141" s="239">
        <v>0</v>
      </c>
      <c r="P141" s="21">
        <v>1</v>
      </c>
      <c r="Q141" s="21">
        <v>0</v>
      </c>
      <c r="R141" s="249">
        <v>0</v>
      </c>
    </row>
    <row r="142" spans="1:19" ht="14.7" outlineLevel="1" thickBot="1" x14ac:dyDescent="0.55000000000000004">
      <c r="B142" s="38" t="s">
        <v>55</v>
      </c>
      <c r="C142" s="16"/>
      <c r="D142" s="16"/>
      <c r="E142" s="15"/>
      <c r="F142" s="15"/>
      <c r="G142" s="63">
        <v>0</v>
      </c>
      <c r="H142" s="23">
        <v>1</v>
      </c>
      <c r="I142" s="23">
        <v>0</v>
      </c>
      <c r="J142" s="241">
        <v>0</v>
      </c>
      <c r="K142" s="23">
        <v>0</v>
      </c>
      <c r="L142" s="23">
        <v>0</v>
      </c>
      <c r="M142" s="23">
        <v>0</v>
      </c>
      <c r="N142" s="23">
        <v>0</v>
      </c>
      <c r="O142" s="241">
        <v>0</v>
      </c>
      <c r="P142" s="23">
        <v>0</v>
      </c>
      <c r="Q142" s="23">
        <v>0</v>
      </c>
      <c r="R142" s="251">
        <v>0</v>
      </c>
    </row>
    <row r="143" spans="1:19" outlineLevel="1" x14ac:dyDescent="0.5"/>
    <row r="144" spans="1:19" ht="14.7" thickBot="1" x14ac:dyDescent="0.55000000000000004"/>
    <row r="145" spans="2:18" ht="14.7" thickBot="1" x14ac:dyDescent="0.55000000000000004">
      <c r="B145" s="124" t="s">
        <v>181</v>
      </c>
      <c r="C145" s="125"/>
      <c r="D145" s="125"/>
      <c r="E145" s="126"/>
      <c r="F145" s="126"/>
      <c r="G145" s="127"/>
      <c r="H145" s="237"/>
      <c r="I145" s="128"/>
      <c r="J145" s="128"/>
      <c r="K145" s="128"/>
      <c r="L145" s="128"/>
      <c r="M145" s="128"/>
      <c r="N145" s="128"/>
      <c r="O145" s="237"/>
      <c r="P145" s="128"/>
      <c r="Q145" s="128"/>
      <c r="R145" s="247"/>
    </row>
    <row r="146" spans="2:18" x14ac:dyDescent="0.5">
      <c r="B146" s="84" t="s">
        <v>21</v>
      </c>
      <c r="C146" s="77"/>
      <c r="D146" s="77"/>
      <c r="E146" s="9"/>
      <c r="F146" s="9"/>
      <c r="G146" s="50"/>
      <c r="H146" s="60"/>
      <c r="I146" s="60"/>
      <c r="J146" s="238"/>
      <c r="K146" s="60"/>
      <c r="L146" s="60"/>
      <c r="M146" s="60"/>
      <c r="N146" s="20"/>
      <c r="O146" s="238"/>
      <c r="P146" s="20"/>
      <c r="Q146" s="20"/>
      <c r="R146" s="248"/>
    </row>
    <row r="147" spans="2:18" x14ac:dyDescent="0.5">
      <c r="B147" s="14" t="s">
        <v>59</v>
      </c>
      <c r="C147" s="1"/>
      <c r="D147" s="1"/>
      <c r="G147" s="52"/>
      <c r="H147" s="61"/>
      <c r="I147" s="61"/>
      <c r="J147" s="239"/>
      <c r="K147" s="61"/>
      <c r="L147" s="61"/>
      <c r="M147" s="61"/>
      <c r="N147" s="21"/>
      <c r="O147" s="239"/>
      <c r="P147" s="21"/>
      <c r="Q147" s="21"/>
      <c r="R147" s="249"/>
    </row>
    <row r="148" spans="2:18" x14ac:dyDescent="0.5">
      <c r="B148" s="14"/>
      <c r="C148" s="2" t="s">
        <v>52</v>
      </c>
      <c r="D148" s="1"/>
      <c r="G148" s="52">
        <v>0</v>
      </c>
      <c r="H148" s="61">
        <v>0</v>
      </c>
      <c r="I148" s="21">
        <v>0</v>
      </c>
      <c r="J148" s="239">
        <v>0</v>
      </c>
      <c r="K148" s="61">
        <v>0</v>
      </c>
      <c r="L148" s="61">
        <v>0</v>
      </c>
      <c r="M148" s="61">
        <v>0</v>
      </c>
      <c r="N148" s="21">
        <v>0</v>
      </c>
      <c r="O148" s="239">
        <v>0</v>
      </c>
      <c r="P148" s="21">
        <v>0</v>
      </c>
      <c r="Q148" s="21">
        <v>0</v>
      </c>
      <c r="R148" s="249">
        <v>0</v>
      </c>
    </row>
    <row r="149" spans="2:18" x14ac:dyDescent="0.5">
      <c r="B149" s="85"/>
      <c r="C149" s="2" t="s">
        <v>58</v>
      </c>
      <c r="D149" s="1"/>
      <c r="G149" s="52">
        <v>0</v>
      </c>
      <c r="H149" s="61">
        <v>0</v>
      </c>
      <c r="I149" s="21">
        <v>0</v>
      </c>
      <c r="J149" s="239">
        <v>0</v>
      </c>
      <c r="K149" s="61">
        <v>0</v>
      </c>
      <c r="L149" s="61">
        <v>0</v>
      </c>
      <c r="M149" s="61">
        <v>0</v>
      </c>
      <c r="N149" s="21">
        <v>0</v>
      </c>
      <c r="O149" s="239">
        <v>0</v>
      </c>
      <c r="P149" s="21">
        <v>0</v>
      </c>
      <c r="Q149" s="21">
        <v>0</v>
      </c>
      <c r="R149" s="249">
        <v>0</v>
      </c>
    </row>
    <row r="150" spans="2:18" x14ac:dyDescent="0.5">
      <c r="B150" s="14" t="s">
        <v>5</v>
      </c>
      <c r="C150" s="1"/>
      <c r="D150" s="1"/>
      <c r="E150" s="2"/>
      <c r="F150" s="2"/>
      <c r="G150" s="52">
        <v>0</v>
      </c>
      <c r="H150" s="61">
        <v>0</v>
      </c>
      <c r="I150" s="21">
        <v>0</v>
      </c>
      <c r="J150" s="239">
        <v>0</v>
      </c>
      <c r="K150" s="61">
        <v>0</v>
      </c>
      <c r="L150" s="61">
        <v>0</v>
      </c>
      <c r="M150" s="61">
        <v>0</v>
      </c>
      <c r="N150" s="21">
        <v>0</v>
      </c>
      <c r="O150" s="239">
        <v>0</v>
      </c>
      <c r="P150" s="21">
        <v>0</v>
      </c>
      <c r="Q150" s="21">
        <v>0</v>
      </c>
      <c r="R150" s="249">
        <v>0</v>
      </c>
    </row>
    <row r="151" spans="2:18" x14ac:dyDescent="0.5">
      <c r="B151" s="14" t="s">
        <v>6</v>
      </c>
      <c r="C151" s="1"/>
      <c r="D151" s="1"/>
      <c r="G151" s="52">
        <v>0</v>
      </c>
      <c r="H151" s="61">
        <v>0</v>
      </c>
      <c r="I151" s="21">
        <v>0</v>
      </c>
      <c r="J151" s="239">
        <v>0</v>
      </c>
      <c r="K151" s="61">
        <v>0</v>
      </c>
      <c r="L151" s="61">
        <v>0</v>
      </c>
      <c r="M151" s="61">
        <v>0</v>
      </c>
      <c r="N151" s="21">
        <v>0</v>
      </c>
      <c r="O151" s="239">
        <v>0</v>
      </c>
      <c r="P151" s="21">
        <v>0</v>
      </c>
      <c r="Q151" s="21">
        <v>0</v>
      </c>
      <c r="R151" s="249">
        <v>0</v>
      </c>
    </row>
    <row r="152" spans="2:18" x14ac:dyDescent="0.5">
      <c r="B152" s="85"/>
      <c r="C152" s="1"/>
      <c r="D152" s="1"/>
      <c r="G152" s="52"/>
      <c r="H152" s="61"/>
      <c r="I152" s="21"/>
      <c r="J152" s="239"/>
      <c r="K152" s="61"/>
      <c r="L152" s="61"/>
      <c r="M152" s="61"/>
      <c r="N152" s="21"/>
      <c r="O152" s="239"/>
      <c r="P152" s="21"/>
      <c r="Q152" s="21"/>
      <c r="R152" s="249"/>
    </row>
    <row r="153" spans="2:18" x14ac:dyDescent="0.5">
      <c r="B153" s="86" t="s">
        <v>22</v>
      </c>
      <c r="C153" s="9"/>
      <c r="D153" s="9"/>
      <c r="E153" s="9"/>
      <c r="F153" s="9"/>
      <c r="G153" s="51"/>
      <c r="H153" s="62"/>
      <c r="I153" s="22"/>
      <c r="J153" s="240"/>
      <c r="K153" s="62"/>
      <c r="L153" s="62"/>
      <c r="M153" s="62"/>
      <c r="N153" s="22"/>
      <c r="O153" s="240"/>
      <c r="P153" s="22"/>
      <c r="Q153" s="22"/>
      <c r="R153" s="250"/>
    </row>
    <row r="154" spans="2:18" x14ac:dyDescent="0.5">
      <c r="B154" s="14" t="s">
        <v>53</v>
      </c>
      <c r="C154" s="1"/>
      <c r="D154" s="1"/>
      <c r="G154" s="52"/>
      <c r="H154" s="61"/>
      <c r="I154" s="21"/>
      <c r="J154" s="239"/>
      <c r="K154" s="61"/>
      <c r="L154" s="61"/>
      <c r="M154" s="61"/>
      <c r="N154" s="21"/>
      <c r="O154" s="239"/>
      <c r="P154" s="21"/>
      <c r="Q154" s="21"/>
      <c r="R154" s="249"/>
    </row>
    <row r="155" spans="2:18" x14ac:dyDescent="0.5">
      <c r="B155" s="14"/>
      <c r="C155" s="2" t="s">
        <v>47</v>
      </c>
      <c r="D155" s="1"/>
      <c r="G155" s="52">
        <v>0</v>
      </c>
      <c r="H155" s="61">
        <v>0</v>
      </c>
      <c r="I155" s="21">
        <v>0</v>
      </c>
      <c r="J155" s="239">
        <v>0</v>
      </c>
      <c r="K155" s="61">
        <v>0</v>
      </c>
      <c r="L155" s="61">
        <v>0</v>
      </c>
      <c r="M155" s="61">
        <v>0</v>
      </c>
      <c r="N155" s="21">
        <v>0</v>
      </c>
      <c r="O155" s="239">
        <v>0</v>
      </c>
      <c r="P155" s="21">
        <v>0</v>
      </c>
      <c r="Q155" s="21">
        <v>0</v>
      </c>
      <c r="R155" s="249">
        <v>0</v>
      </c>
    </row>
    <row r="156" spans="2:18" x14ac:dyDescent="0.5">
      <c r="B156" s="85"/>
      <c r="C156" s="2" t="s">
        <v>48</v>
      </c>
      <c r="D156" s="1"/>
      <c r="E156" s="2"/>
      <c r="F156" s="2"/>
      <c r="G156" s="52">
        <v>0</v>
      </c>
      <c r="H156" s="61">
        <v>0</v>
      </c>
      <c r="I156" s="21">
        <v>0</v>
      </c>
      <c r="J156" s="239">
        <v>0</v>
      </c>
      <c r="K156" s="61">
        <v>0</v>
      </c>
      <c r="L156" s="61">
        <v>0</v>
      </c>
      <c r="M156" s="61">
        <v>0</v>
      </c>
      <c r="N156" s="21">
        <v>0</v>
      </c>
      <c r="O156" s="239">
        <v>0</v>
      </c>
      <c r="P156" s="21">
        <v>0</v>
      </c>
      <c r="Q156" s="21">
        <v>0</v>
      </c>
      <c r="R156" s="249">
        <v>0</v>
      </c>
    </row>
    <row r="157" spans="2:18" x14ac:dyDescent="0.5">
      <c r="B157" s="14" t="s">
        <v>46</v>
      </c>
      <c r="C157" s="2"/>
      <c r="D157" s="1"/>
      <c r="E157" s="2"/>
      <c r="F157" s="2"/>
      <c r="G157" s="52">
        <v>0</v>
      </c>
      <c r="H157" s="61">
        <v>0</v>
      </c>
      <c r="I157" s="21">
        <v>0</v>
      </c>
      <c r="J157" s="239">
        <v>0</v>
      </c>
      <c r="K157" s="61">
        <v>0</v>
      </c>
      <c r="L157" s="61">
        <v>0</v>
      </c>
      <c r="M157" s="61">
        <v>0</v>
      </c>
      <c r="N157" s="21">
        <v>0</v>
      </c>
      <c r="O157" s="239">
        <v>0</v>
      </c>
      <c r="P157" s="21">
        <v>0</v>
      </c>
      <c r="Q157" s="21">
        <v>0</v>
      </c>
      <c r="R157" s="249">
        <v>0</v>
      </c>
    </row>
    <row r="158" spans="2:18" x14ac:dyDescent="0.5">
      <c r="B158" s="14" t="s">
        <v>8</v>
      </c>
      <c r="C158" s="1"/>
      <c r="D158" s="1"/>
      <c r="E158" s="2"/>
      <c r="F158" s="2"/>
      <c r="G158" s="52">
        <v>0</v>
      </c>
      <c r="H158" s="61">
        <v>0</v>
      </c>
      <c r="I158" s="21">
        <v>0</v>
      </c>
      <c r="J158" s="239">
        <v>0</v>
      </c>
      <c r="K158" s="61">
        <v>0</v>
      </c>
      <c r="L158" s="61">
        <v>0</v>
      </c>
      <c r="M158" s="61">
        <v>0</v>
      </c>
      <c r="N158" s="21">
        <v>0</v>
      </c>
      <c r="O158" s="239">
        <v>0</v>
      </c>
      <c r="P158" s="21">
        <v>0</v>
      </c>
      <c r="Q158" s="21">
        <v>0</v>
      </c>
      <c r="R158" s="249">
        <v>0</v>
      </c>
    </row>
    <row r="159" spans="2:18" x14ac:dyDescent="0.5">
      <c r="B159" s="85"/>
      <c r="C159" s="1"/>
      <c r="D159" s="1"/>
      <c r="E159" s="2"/>
      <c r="F159" s="2"/>
      <c r="G159" s="52"/>
      <c r="H159" s="61"/>
      <c r="I159" s="21"/>
      <c r="J159" s="239"/>
      <c r="K159" s="61"/>
      <c r="L159" s="61"/>
      <c r="M159" s="61"/>
      <c r="N159" s="21"/>
      <c r="O159" s="239"/>
      <c r="P159" s="21"/>
      <c r="Q159" s="21"/>
      <c r="R159" s="249"/>
    </row>
    <row r="160" spans="2:18" x14ac:dyDescent="0.5">
      <c r="B160" s="84" t="s">
        <v>23</v>
      </c>
      <c r="C160" s="9"/>
      <c r="D160" s="9"/>
      <c r="E160" s="9"/>
      <c r="F160" s="9"/>
      <c r="G160" s="51"/>
      <c r="H160" s="62"/>
      <c r="I160" s="22"/>
      <c r="J160" s="240"/>
      <c r="K160" s="62"/>
      <c r="L160" s="62"/>
      <c r="M160" s="62"/>
      <c r="N160" s="22"/>
      <c r="O160" s="240"/>
      <c r="P160" s="22"/>
      <c r="Q160" s="22"/>
      <c r="R160" s="250"/>
    </row>
    <row r="161" spans="2:18" x14ac:dyDescent="0.5">
      <c r="B161" s="14" t="s">
        <v>54</v>
      </c>
      <c r="C161" s="1"/>
      <c r="D161" s="1"/>
      <c r="E161" s="2"/>
      <c r="F161" s="2"/>
      <c r="G161" s="52">
        <v>0</v>
      </c>
      <c r="H161" s="61">
        <v>0</v>
      </c>
      <c r="I161" s="21">
        <v>0</v>
      </c>
      <c r="J161" s="239">
        <v>0</v>
      </c>
      <c r="K161" s="61">
        <v>0</v>
      </c>
      <c r="L161" s="61">
        <v>0</v>
      </c>
      <c r="M161" s="61">
        <v>0</v>
      </c>
      <c r="N161" s="21">
        <v>0</v>
      </c>
      <c r="O161" s="239">
        <v>0</v>
      </c>
      <c r="P161" s="21">
        <v>0</v>
      </c>
      <c r="Q161" s="21">
        <v>0</v>
      </c>
      <c r="R161" s="249">
        <v>0</v>
      </c>
    </row>
    <row r="162" spans="2:18" x14ac:dyDescent="0.5">
      <c r="B162" s="14" t="s">
        <v>9</v>
      </c>
      <c r="C162" s="1"/>
      <c r="D162" s="1"/>
      <c r="E162" s="2"/>
      <c r="F162" s="2"/>
      <c r="G162" s="52">
        <v>0</v>
      </c>
      <c r="H162" s="61">
        <v>0</v>
      </c>
      <c r="I162" s="21">
        <v>0</v>
      </c>
      <c r="J162" s="239">
        <v>0</v>
      </c>
      <c r="K162" s="61">
        <v>0</v>
      </c>
      <c r="L162" s="61">
        <v>0</v>
      </c>
      <c r="M162" s="61">
        <v>0</v>
      </c>
      <c r="N162" s="21">
        <v>0</v>
      </c>
      <c r="O162" s="239">
        <v>0</v>
      </c>
      <c r="P162" s="21">
        <v>0</v>
      </c>
      <c r="Q162" s="21">
        <v>0</v>
      </c>
      <c r="R162" s="249">
        <v>0</v>
      </c>
    </row>
    <row r="163" spans="2:18" x14ac:dyDescent="0.5">
      <c r="B163" s="85"/>
      <c r="C163" s="1"/>
      <c r="D163" s="1"/>
      <c r="G163" s="52"/>
      <c r="H163" s="61"/>
      <c r="I163" s="21"/>
      <c r="J163" s="239"/>
      <c r="K163" s="61"/>
      <c r="L163" s="61"/>
      <c r="M163" s="61"/>
      <c r="N163" s="21"/>
      <c r="O163" s="239"/>
      <c r="P163" s="21"/>
      <c r="Q163" s="21"/>
      <c r="R163" s="249"/>
    </row>
    <row r="164" spans="2:18" x14ac:dyDescent="0.5">
      <c r="B164" s="84" t="s">
        <v>10</v>
      </c>
      <c r="C164" s="9"/>
      <c r="D164" s="9"/>
      <c r="E164" s="9"/>
      <c r="F164" s="9"/>
      <c r="G164" s="51"/>
      <c r="H164" s="62"/>
      <c r="I164" s="22"/>
      <c r="J164" s="240"/>
      <c r="K164" s="62"/>
      <c r="L164" s="62"/>
      <c r="M164" s="62"/>
      <c r="N164" s="22"/>
      <c r="O164" s="240"/>
      <c r="P164" s="22"/>
      <c r="Q164" s="22"/>
      <c r="R164" s="250"/>
    </row>
    <row r="165" spans="2:18" x14ac:dyDescent="0.5">
      <c r="B165" s="14" t="s">
        <v>49</v>
      </c>
      <c r="D165" s="1"/>
      <c r="G165" s="52">
        <v>0</v>
      </c>
      <c r="H165" s="61">
        <v>0</v>
      </c>
      <c r="I165" s="21">
        <v>0</v>
      </c>
      <c r="J165" s="239">
        <v>0</v>
      </c>
      <c r="K165" s="61">
        <v>0</v>
      </c>
      <c r="L165" s="61">
        <v>0</v>
      </c>
      <c r="M165" s="61">
        <v>0</v>
      </c>
      <c r="N165" s="21">
        <v>0</v>
      </c>
      <c r="O165" s="239">
        <v>0</v>
      </c>
      <c r="P165" s="21">
        <v>0</v>
      </c>
      <c r="Q165" s="21">
        <v>0</v>
      </c>
      <c r="R165" s="249">
        <v>0</v>
      </c>
    </row>
    <row r="166" spans="2:18" x14ac:dyDescent="0.5">
      <c r="B166" s="14" t="s">
        <v>50</v>
      </c>
      <c r="D166" s="1"/>
      <c r="G166" s="52">
        <v>0</v>
      </c>
      <c r="H166" s="61">
        <v>0</v>
      </c>
      <c r="I166" s="21">
        <v>0</v>
      </c>
      <c r="J166" s="239">
        <v>0</v>
      </c>
      <c r="K166" s="61">
        <v>0</v>
      </c>
      <c r="L166" s="61">
        <v>0</v>
      </c>
      <c r="M166" s="61">
        <v>0</v>
      </c>
      <c r="N166" s="21">
        <v>0</v>
      </c>
      <c r="O166" s="239">
        <v>0</v>
      </c>
      <c r="P166" s="21">
        <v>0</v>
      </c>
      <c r="Q166" s="21">
        <v>0</v>
      </c>
      <c r="R166" s="249">
        <v>0</v>
      </c>
    </row>
    <row r="167" spans="2:18" x14ac:dyDescent="0.5">
      <c r="B167" s="85"/>
      <c r="C167" s="1"/>
      <c r="D167" s="1"/>
      <c r="G167" s="52"/>
      <c r="H167" s="61"/>
      <c r="I167" s="21"/>
      <c r="J167" s="239"/>
      <c r="K167" s="61"/>
      <c r="L167" s="61"/>
      <c r="M167" s="61"/>
      <c r="N167" s="21"/>
      <c r="O167" s="239"/>
      <c r="P167" s="21"/>
      <c r="Q167" s="21"/>
      <c r="R167" s="249"/>
    </row>
    <row r="168" spans="2:18" x14ac:dyDescent="0.5">
      <c r="B168" s="84" t="s">
        <v>24</v>
      </c>
      <c r="C168" s="9"/>
      <c r="D168" s="9"/>
      <c r="E168" s="9"/>
      <c r="F168" s="9"/>
      <c r="G168" s="51"/>
      <c r="H168" s="62"/>
      <c r="I168" s="22"/>
      <c r="J168" s="240"/>
      <c r="K168" s="62"/>
      <c r="L168" s="62"/>
      <c r="M168" s="62"/>
      <c r="N168" s="22"/>
      <c r="O168" s="240"/>
      <c r="P168" s="22"/>
      <c r="Q168" s="22"/>
      <c r="R168" s="250"/>
    </row>
    <row r="169" spans="2:18" x14ac:dyDescent="0.5">
      <c r="B169" s="14" t="s">
        <v>12</v>
      </c>
      <c r="C169" s="1"/>
      <c r="D169" s="1"/>
      <c r="G169" s="52"/>
      <c r="H169" s="61"/>
      <c r="I169" s="21"/>
      <c r="J169" s="239"/>
      <c r="K169" s="61"/>
      <c r="L169" s="61"/>
      <c r="M169" s="61"/>
      <c r="N169" s="21"/>
      <c r="O169" s="239"/>
      <c r="P169" s="21"/>
      <c r="Q169" s="21"/>
      <c r="R169" s="249"/>
    </row>
    <row r="170" spans="2:18" x14ac:dyDescent="0.5">
      <c r="B170" s="85"/>
      <c r="C170" s="2" t="s">
        <v>13</v>
      </c>
      <c r="D170" s="2"/>
      <c r="E170" s="2"/>
      <c r="F170" s="2"/>
      <c r="G170" s="52">
        <v>0</v>
      </c>
      <c r="H170" s="61">
        <v>0</v>
      </c>
      <c r="I170" s="21">
        <v>0</v>
      </c>
      <c r="J170" s="239">
        <v>0</v>
      </c>
      <c r="K170" s="61">
        <v>0</v>
      </c>
      <c r="L170" s="61">
        <v>0</v>
      </c>
      <c r="M170" s="61">
        <v>0</v>
      </c>
      <c r="N170" s="21">
        <v>0</v>
      </c>
      <c r="O170" s="239">
        <v>0</v>
      </c>
      <c r="P170" s="21">
        <v>0</v>
      </c>
      <c r="Q170" s="21">
        <v>0</v>
      </c>
      <c r="R170" s="249">
        <v>0</v>
      </c>
    </row>
    <row r="171" spans="2:18" x14ac:dyDescent="0.5">
      <c r="B171" s="13" t="s">
        <v>14</v>
      </c>
      <c r="C171" s="1"/>
      <c r="D171" s="1"/>
      <c r="G171" s="52">
        <v>0</v>
      </c>
      <c r="H171" s="61">
        <v>0</v>
      </c>
      <c r="I171" s="21">
        <v>0</v>
      </c>
      <c r="J171" s="239">
        <v>0</v>
      </c>
      <c r="K171" s="61"/>
      <c r="L171" s="61"/>
      <c r="M171" s="61"/>
      <c r="N171" s="21"/>
      <c r="O171" s="239"/>
      <c r="P171" s="21"/>
      <c r="Q171" s="21"/>
      <c r="R171" s="249"/>
    </row>
    <row r="172" spans="2:18" x14ac:dyDescent="0.5">
      <c r="B172" s="13"/>
      <c r="C172" s="2" t="s">
        <v>15</v>
      </c>
      <c r="D172" s="1"/>
      <c r="G172" s="52">
        <v>0</v>
      </c>
      <c r="H172" s="61">
        <v>0</v>
      </c>
      <c r="I172" s="21">
        <v>0</v>
      </c>
      <c r="J172" s="239">
        <v>0</v>
      </c>
      <c r="K172" s="61">
        <v>0</v>
      </c>
      <c r="L172" s="61">
        <v>0</v>
      </c>
      <c r="M172" s="61">
        <v>0</v>
      </c>
      <c r="N172" s="21">
        <v>0</v>
      </c>
      <c r="O172" s="239">
        <v>0</v>
      </c>
      <c r="P172" s="21">
        <v>0</v>
      </c>
      <c r="Q172" s="21">
        <v>0</v>
      </c>
      <c r="R172" s="249">
        <v>0</v>
      </c>
    </row>
    <row r="173" spans="2:18" x14ac:dyDescent="0.5">
      <c r="B173" s="13"/>
      <c r="C173" s="2" t="s">
        <v>16</v>
      </c>
      <c r="D173" s="1"/>
      <c r="G173" s="52">
        <v>0</v>
      </c>
      <c r="H173" s="61">
        <v>0</v>
      </c>
      <c r="I173" s="21">
        <v>0</v>
      </c>
      <c r="J173" s="239">
        <v>0</v>
      </c>
      <c r="K173" s="61">
        <v>0</v>
      </c>
      <c r="L173" s="61">
        <v>0</v>
      </c>
      <c r="M173" s="61">
        <v>0</v>
      </c>
      <c r="N173" s="21">
        <v>0</v>
      </c>
      <c r="O173" s="239">
        <v>0</v>
      </c>
      <c r="P173" s="21">
        <v>0</v>
      </c>
      <c r="Q173" s="21">
        <v>0</v>
      </c>
      <c r="R173" s="249">
        <v>0</v>
      </c>
    </row>
    <row r="174" spans="2:18" x14ac:dyDescent="0.5">
      <c r="B174" s="13"/>
      <c r="C174" s="2" t="s">
        <v>17</v>
      </c>
      <c r="D174" s="1"/>
      <c r="G174" s="52">
        <v>0</v>
      </c>
      <c r="H174" s="61">
        <v>0</v>
      </c>
      <c r="I174" s="21">
        <v>0</v>
      </c>
      <c r="J174" s="239">
        <v>0</v>
      </c>
      <c r="K174" s="61">
        <v>0</v>
      </c>
      <c r="L174" s="61">
        <v>0</v>
      </c>
      <c r="M174" s="61">
        <v>0</v>
      </c>
      <c r="N174" s="21">
        <v>0</v>
      </c>
      <c r="O174" s="239">
        <v>0</v>
      </c>
      <c r="P174" s="21">
        <v>0</v>
      </c>
      <c r="Q174" s="21">
        <v>0</v>
      </c>
      <c r="R174" s="249">
        <v>0</v>
      </c>
    </row>
    <row r="175" spans="2:18" x14ac:dyDescent="0.5">
      <c r="B175" s="85"/>
      <c r="C175" s="2" t="s">
        <v>18</v>
      </c>
      <c r="D175" s="1"/>
      <c r="G175" s="52">
        <v>0</v>
      </c>
      <c r="H175" s="61">
        <v>0</v>
      </c>
      <c r="I175" s="21">
        <v>0</v>
      </c>
      <c r="J175" s="239">
        <v>0</v>
      </c>
      <c r="K175" s="61">
        <v>0</v>
      </c>
      <c r="L175" s="61">
        <v>0</v>
      </c>
      <c r="M175" s="61">
        <v>0</v>
      </c>
      <c r="N175" s="21">
        <v>0</v>
      </c>
      <c r="O175" s="239">
        <v>0</v>
      </c>
      <c r="P175" s="21">
        <v>0</v>
      </c>
      <c r="Q175" s="21">
        <v>0</v>
      </c>
      <c r="R175" s="249">
        <v>0</v>
      </c>
    </row>
    <row r="176" spans="2:18" x14ac:dyDescent="0.5">
      <c r="B176" s="85"/>
      <c r="C176" s="1"/>
      <c r="D176" s="1"/>
      <c r="G176" s="52"/>
      <c r="H176" s="61"/>
      <c r="I176" s="21"/>
      <c r="J176" s="239"/>
      <c r="K176" s="61"/>
      <c r="L176" s="61"/>
      <c r="M176" s="61"/>
      <c r="N176" s="21"/>
      <c r="O176" s="239"/>
      <c r="P176" s="21"/>
      <c r="Q176" s="21"/>
      <c r="R176" s="249"/>
    </row>
    <row r="177" spans="2:18" x14ac:dyDescent="0.5">
      <c r="B177" s="86" t="s">
        <v>19</v>
      </c>
      <c r="C177" s="9"/>
      <c r="D177" s="9"/>
      <c r="E177" s="11"/>
      <c r="F177" s="11"/>
      <c r="G177" s="51"/>
      <c r="H177" s="62"/>
      <c r="I177" s="22"/>
      <c r="J177" s="240"/>
      <c r="K177" s="62"/>
      <c r="L177" s="62"/>
      <c r="M177" s="62"/>
      <c r="N177" s="22"/>
      <c r="O177" s="240"/>
      <c r="P177" s="22"/>
      <c r="Q177" s="22"/>
      <c r="R177" s="250"/>
    </row>
    <row r="178" spans="2:18" x14ac:dyDescent="0.5">
      <c r="B178" s="14" t="s">
        <v>19</v>
      </c>
      <c r="C178" s="1"/>
      <c r="D178" s="1"/>
      <c r="E178" s="2"/>
      <c r="F178" s="2"/>
      <c r="G178" s="52">
        <v>0</v>
      </c>
      <c r="H178" s="61">
        <v>0</v>
      </c>
      <c r="I178" s="21">
        <v>0</v>
      </c>
      <c r="J178" s="239">
        <v>0</v>
      </c>
      <c r="K178" s="61">
        <v>0</v>
      </c>
      <c r="L178" s="61">
        <v>0</v>
      </c>
      <c r="M178" s="61">
        <v>0</v>
      </c>
      <c r="N178" s="21">
        <v>0</v>
      </c>
      <c r="O178" s="239">
        <v>0</v>
      </c>
      <c r="P178" s="21">
        <v>0</v>
      </c>
      <c r="Q178" s="21">
        <v>0</v>
      </c>
      <c r="R178" s="249">
        <v>0</v>
      </c>
    </row>
    <row r="179" spans="2:18" x14ac:dyDescent="0.5">
      <c r="B179" s="14"/>
      <c r="C179" s="1"/>
      <c r="D179" s="1"/>
      <c r="E179" s="2"/>
      <c r="F179" s="2"/>
      <c r="G179" s="52"/>
      <c r="H179" s="61"/>
      <c r="I179" s="21"/>
      <c r="J179" s="239"/>
      <c r="K179" s="61"/>
      <c r="L179" s="61"/>
      <c r="M179" s="61"/>
      <c r="N179" s="21"/>
      <c r="O179" s="239"/>
      <c r="P179" s="21"/>
      <c r="Q179" s="21"/>
      <c r="R179" s="249"/>
    </row>
    <row r="180" spans="2:18" x14ac:dyDescent="0.5">
      <c r="B180" s="86" t="s">
        <v>25</v>
      </c>
      <c r="C180" s="9"/>
      <c r="D180" s="9"/>
      <c r="E180" s="9"/>
      <c r="F180" s="9"/>
      <c r="G180" s="51"/>
      <c r="H180" s="62"/>
      <c r="I180" s="22"/>
      <c r="J180" s="240"/>
      <c r="K180" s="62"/>
      <c r="L180" s="62"/>
      <c r="M180" s="62"/>
      <c r="N180" s="22"/>
      <c r="O180" s="240"/>
      <c r="P180" s="22"/>
      <c r="Q180" s="22"/>
      <c r="R180" s="250"/>
    </row>
    <row r="181" spans="2:18" x14ac:dyDescent="0.5">
      <c r="B181" s="14" t="s">
        <v>25</v>
      </c>
      <c r="C181" s="1"/>
      <c r="D181" s="1"/>
      <c r="G181" s="52">
        <v>0</v>
      </c>
      <c r="H181" s="61">
        <v>0</v>
      </c>
      <c r="I181" s="21">
        <v>0</v>
      </c>
      <c r="J181" s="239">
        <v>0</v>
      </c>
      <c r="K181" s="61">
        <v>0</v>
      </c>
      <c r="L181" s="61">
        <v>0</v>
      </c>
      <c r="M181" s="61">
        <v>0</v>
      </c>
      <c r="N181" s="21">
        <v>0</v>
      </c>
      <c r="O181" s="239">
        <v>0</v>
      </c>
      <c r="P181" s="21">
        <v>0</v>
      </c>
      <c r="Q181" s="21">
        <v>0</v>
      </c>
      <c r="R181" s="249">
        <v>0</v>
      </c>
    </row>
    <row r="182" spans="2:18" x14ac:dyDescent="0.5">
      <c r="B182" s="14"/>
      <c r="C182" s="1"/>
      <c r="D182" s="1"/>
      <c r="G182" s="52"/>
      <c r="H182" s="61"/>
      <c r="I182" s="21"/>
      <c r="J182" s="239"/>
      <c r="K182" s="61"/>
      <c r="L182" s="61"/>
      <c r="M182" s="61"/>
      <c r="N182" s="21"/>
      <c r="O182" s="239"/>
      <c r="P182" s="21"/>
      <c r="Q182" s="21"/>
      <c r="R182" s="249"/>
    </row>
    <row r="183" spans="2:18" x14ac:dyDescent="0.5">
      <c r="B183" s="86" t="s">
        <v>4</v>
      </c>
      <c r="C183" s="9"/>
      <c r="D183" s="9"/>
      <c r="E183" s="9"/>
      <c r="F183" s="9"/>
      <c r="G183" s="51"/>
      <c r="H183" s="62"/>
      <c r="I183" s="22"/>
      <c r="J183" s="240"/>
      <c r="K183" s="62"/>
      <c r="L183" s="62"/>
      <c r="M183" s="62"/>
      <c r="N183" s="22"/>
      <c r="O183" s="240"/>
      <c r="P183" s="22"/>
      <c r="Q183" s="22"/>
      <c r="R183" s="250"/>
    </row>
    <row r="184" spans="2:18" x14ac:dyDescent="0.5">
      <c r="B184" s="14" t="s">
        <v>20</v>
      </c>
      <c r="C184" s="1"/>
      <c r="D184" s="1"/>
      <c r="E184" s="2"/>
      <c r="F184" s="2"/>
      <c r="G184" s="52">
        <v>0</v>
      </c>
      <c r="H184" s="61">
        <v>0</v>
      </c>
      <c r="I184" s="21">
        <v>0</v>
      </c>
      <c r="J184" s="239">
        <v>0</v>
      </c>
      <c r="K184" s="61">
        <v>0</v>
      </c>
      <c r="L184" s="61">
        <v>0</v>
      </c>
      <c r="M184" s="61">
        <v>0</v>
      </c>
      <c r="N184" s="21">
        <v>0</v>
      </c>
      <c r="O184" s="239">
        <v>0</v>
      </c>
      <c r="P184" s="21">
        <v>0</v>
      </c>
      <c r="Q184" s="21">
        <v>0</v>
      </c>
      <c r="R184" s="249">
        <v>0</v>
      </c>
    </row>
    <row r="185" spans="2:18" x14ac:dyDescent="0.5">
      <c r="B185" s="14" t="s">
        <v>11</v>
      </c>
      <c r="C185" s="1"/>
      <c r="D185" s="1"/>
      <c r="E185" s="2"/>
      <c r="F185" s="2"/>
      <c r="G185" s="52">
        <v>0</v>
      </c>
      <c r="H185" s="61">
        <v>0</v>
      </c>
      <c r="I185" s="21">
        <v>0</v>
      </c>
      <c r="J185" s="239">
        <v>0</v>
      </c>
      <c r="K185" s="61">
        <v>0</v>
      </c>
      <c r="L185" s="61">
        <v>0</v>
      </c>
      <c r="M185" s="61">
        <v>0</v>
      </c>
      <c r="N185" s="21">
        <v>0</v>
      </c>
      <c r="O185" s="239">
        <v>0</v>
      </c>
      <c r="P185" s="21">
        <v>0</v>
      </c>
      <c r="Q185" s="21">
        <v>0</v>
      </c>
      <c r="R185" s="249">
        <v>0</v>
      </c>
    </row>
    <row r="186" spans="2:18" ht="14.7" thickBot="1" x14ac:dyDescent="0.55000000000000004">
      <c r="B186" s="38" t="s">
        <v>55</v>
      </c>
      <c r="C186" s="16"/>
      <c r="D186" s="16"/>
      <c r="E186" s="15"/>
      <c r="F186" s="15"/>
      <c r="G186" s="63">
        <v>0</v>
      </c>
      <c r="H186" s="23">
        <v>0</v>
      </c>
      <c r="I186" s="23">
        <v>0</v>
      </c>
      <c r="J186" s="241">
        <v>0</v>
      </c>
      <c r="K186" s="23">
        <v>0</v>
      </c>
      <c r="L186" s="23">
        <v>0</v>
      </c>
      <c r="M186" s="23">
        <v>0</v>
      </c>
      <c r="N186" s="23">
        <v>0</v>
      </c>
      <c r="O186" s="241">
        <v>0</v>
      </c>
      <c r="P186" s="23">
        <v>0</v>
      </c>
      <c r="Q186" s="23">
        <v>0</v>
      </c>
      <c r="R186" s="251">
        <v>0</v>
      </c>
    </row>
  </sheetData>
  <mergeCells count="2">
    <mergeCell ref="K9:O9"/>
    <mergeCell ref="P9:R9"/>
  </mergeCells>
  <dataValidations count="1">
    <dataValidation type="list" allowBlank="1" showInputMessage="1" showErrorMessage="1" sqref="L4" xr:uid="{00000000-0002-0000-0A00-000000000000}">
      <formula1>"1,2,3"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B2"/>
  <sheetViews>
    <sheetView showGridLines="0" workbookViewId="0"/>
  </sheetViews>
  <sheetFormatPr defaultColWidth="8.76171875" defaultRowHeight="14.35" x14ac:dyDescent="0.5"/>
  <cols>
    <col min="1" max="1" width="2.64453125" customWidth="1"/>
  </cols>
  <sheetData>
    <row r="2" spans="2:2" x14ac:dyDescent="0.5">
      <c r="B2" t="s">
        <v>111</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U53"/>
  <sheetViews>
    <sheetView showGridLines="0" topLeftCell="A8" workbookViewId="0">
      <selection activeCell="M19" sqref="M19"/>
    </sheetView>
  </sheetViews>
  <sheetFormatPr defaultColWidth="11.41015625" defaultRowHeight="14.35" x14ac:dyDescent="0.5"/>
  <cols>
    <col min="1" max="3" width="2.3515625" style="1" customWidth="1"/>
    <col min="4" max="7" width="11.41015625" style="1"/>
    <col min="8" max="11" width="10.76171875" style="1" customWidth="1"/>
    <col min="12" max="12" width="11.41015625" style="1" customWidth="1"/>
    <col min="13" max="16384" width="11.41015625" style="1"/>
  </cols>
  <sheetData>
    <row r="1" spans="1:21" s="4" customFormat="1" ht="18" x14ac:dyDescent="0.6">
      <c r="A1" s="5" t="s">
        <v>67</v>
      </c>
      <c r="H1" s="17"/>
      <c r="I1" s="17"/>
      <c r="J1" s="17"/>
      <c r="K1" s="17"/>
      <c r="L1" s="17"/>
      <c r="M1" s="17"/>
      <c r="N1" s="17"/>
      <c r="O1" s="17"/>
      <c r="P1" s="17"/>
      <c r="Q1" s="17"/>
      <c r="R1" s="17"/>
      <c r="S1" s="17"/>
      <c r="T1" s="17"/>
      <c r="U1" s="33"/>
    </row>
    <row r="2" spans="1:21" s="76" customFormat="1" ht="14.7" thickBot="1" x14ac:dyDescent="0.55000000000000004">
      <c r="G2" s="96"/>
    </row>
    <row r="3" spans="1:21" s="76" customFormat="1" ht="16" thickBot="1" x14ac:dyDescent="0.6">
      <c r="B3" s="80" t="s">
        <v>112</v>
      </c>
      <c r="C3" s="83"/>
      <c r="D3" s="83"/>
      <c r="E3" s="83"/>
      <c r="F3" s="83"/>
      <c r="G3" s="12"/>
      <c r="H3" s="19"/>
      <c r="I3" s="19"/>
      <c r="J3" s="19"/>
      <c r="K3" s="19"/>
      <c r="L3" s="19"/>
      <c r="M3" s="19"/>
      <c r="N3" s="19"/>
      <c r="O3" s="19"/>
      <c r="P3" s="19"/>
      <c r="Q3" s="19"/>
      <c r="R3" s="186"/>
    </row>
    <row r="4" spans="1:21" s="76" customFormat="1" ht="16" thickBot="1" x14ac:dyDescent="0.6">
      <c r="B4" s="195"/>
      <c r="C4" s="196"/>
      <c r="D4" s="196"/>
      <c r="E4" s="196"/>
      <c r="F4" s="196"/>
      <c r="G4" s="375" t="s">
        <v>73</v>
      </c>
      <c r="H4" s="376"/>
      <c r="I4" s="376"/>
      <c r="J4" s="386"/>
      <c r="K4" s="372" t="s">
        <v>72</v>
      </c>
      <c r="L4" s="373"/>
      <c r="M4" s="373"/>
      <c r="N4" s="373"/>
      <c r="O4" s="373"/>
      <c r="P4" s="376" t="s">
        <v>4</v>
      </c>
      <c r="Q4" s="376"/>
      <c r="R4" s="385"/>
    </row>
    <row r="5" spans="1:21" s="76" customFormat="1" ht="15.7" x14ac:dyDescent="0.55000000000000004">
      <c r="B5" s="163"/>
      <c r="C5" s="59"/>
      <c r="D5" s="59"/>
      <c r="E5" s="59"/>
      <c r="F5" s="59"/>
      <c r="G5" s="57" t="str">
        <f>+IF(ISBLANK('Material %'!G10)*1=1,"",'Material %'!G10)</f>
        <v>Lined</v>
      </c>
      <c r="H5" s="28" t="str">
        <f>+IF(ISBLANK('Material %'!H10)*1=1,"",'Material %'!H10)</f>
        <v>Unlined</v>
      </c>
      <c r="I5" s="28" t="str">
        <f>+IF(ISBLANK('Material %'!I10)*1=1,"",'Material %'!I10)</f>
        <v>Molded</v>
      </c>
      <c r="J5" s="28" t="str">
        <f>+IF(ISBLANK('Material %'!J10)*1=1,"",'Material %'!J10)</f>
        <v>Plant</v>
      </c>
      <c r="K5" s="57"/>
      <c r="L5" s="28"/>
      <c r="M5" s="28"/>
      <c r="N5" s="28" t="str">
        <f>+IF(ISBLANK('Material %'!O10)*1=1,"",'Material %'!O10)</f>
        <v>EPS</v>
      </c>
      <c r="O5" s="28" t="str">
        <f>+IF(ISBLANK('Material %'!P10)*1=1,"",'Material %'!P10)</f>
        <v>LDPE/HDPE</v>
      </c>
      <c r="P5" s="57"/>
      <c r="Q5" s="28"/>
      <c r="R5" s="187"/>
    </row>
    <row r="6" spans="1:21" s="76" customFormat="1" ht="16" thickBot="1" x14ac:dyDescent="0.6">
      <c r="B6" s="164"/>
      <c r="C6" s="29"/>
      <c r="D6" s="29"/>
      <c r="E6" s="29"/>
      <c r="F6" s="29"/>
      <c r="G6" s="58" t="str">
        <f>+IF(ISBLANK('Material %'!G11)*1=1,"",'Material %'!G11)</f>
        <v>Paper</v>
      </c>
      <c r="H6" s="29" t="str">
        <f>+IF(ISBLANK('Material %'!H11)*1=1,"",'Material %'!H11)</f>
        <v>Paper</v>
      </c>
      <c r="I6" s="29" t="str">
        <f>+IF(ISBLANK('Material %'!I11)*1=1,"",'Material %'!I11)</f>
        <v>Fiber</v>
      </c>
      <c r="J6" s="29" t="str">
        <f>+IF(ISBLANK('Material %'!J11)*1=1,"",'Material %'!J11)</f>
        <v>Fiber</v>
      </c>
      <c r="K6" s="58" t="str">
        <f>+IF(ISBLANK('Material %'!L11)*1=1,"",'Material %'!L11)</f>
        <v>PET</v>
      </c>
      <c r="L6" s="29" t="str">
        <f>+IF(ISBLANK('Material %'!M11)*1=1,"",'Material %'!M11)</f>
        <v>PP</v>
      </c>
      <c r="M6" s="29" t="str">
        <f>+IF(ISBLANK('Material %'!N11)*1=1,"",'Material %'!N11)</f>
        <v>PS</v>
      </c>
      <c r="N6" s="29" t="str">
        <f>+IF(ISBLANK('Material %'!O11)*1=1,"",'Material %'!O11)</f>
        <v>Foam</v>
      </c>
      <c r="O6" s="29" t="str">
        <f>+IF(ISBLANK('Material %'!P11)*1=1,"",'Material %'!P11)</f>
        <v>Film</v>
      </c>
      <c r="P6" s="58" t="str">
        <f>+IF(ISBLANK('Material %'!R11)*1=1,"",'Material %'!R11)</f>
        <v>PLA</v>
      </c>
      <c r="Q6" s="29" t="str">
        <f>+IF(ISBLANK('Material %'!S11)*1=1,"",'Material %'!S11)</f>
        <v>Aluminum</v>
      </c>
      <c r="R6" s="188" t="str">
        <f>+IF(ISBLANK('Material %'!T11)*1=1,"",'Material %'!T11)</f>
        <v>Wood</v>
      </c>
    </row>
    <row r="7" spans="1:21" x14ac:dyDescent="0.5">
      <c r="B7" s="84" t="s">
        <v>21</v>
      </c>
      <c r="C7" s="165"/>
      <c r="D7" s="165"/>
      <c r="E7" s="166"/>
      <c r="F7" s="166"/>
      <c r="G7" s="156"/>
      <c r="H7" s="157"/>
      <c r="I7" s="157"/>
      <c r="J7" s="157"/>
      <c r="K7" s="156"/>
      <c r="L7" s="157"/>
      <c r="M7" s="157"/>
      <c r="N7" s="157"/>
      <c r="O7" s="157"/>
      <c r="P7" s="156"/>
      <c r="Q7" s="157"/>
      <c r="R7" s="189"/>
    </row>
    <row r="8" spans="1:21" s="55" customFormat="1" x14ac:dyDescent="0.5">
      <c r="B8" s="14" t="s">
        <v>59</v>
      </c>
      <c r="C8" s="64"/>
      <c r="D8" s="64"/>
      <c r="E8" s="64"/>
      <c r="F8" s="64"/>
      <c r="G8" s="158"/>
      <c r="H8" s="87"/>
      <c r="I8" s="87"/>
      <c r="J8" s="87"/>
      <c r="K8" s="158"/>
      <c r="L8" s="87"/>
      <c r="M8" s="87"/>
      <c r="N8" s="87"/>
      <c r="O8" s="87"/>
      <c r="P8" s="158"/>
      <c r="Q8" s="87"/>
      <c r="R8" s="190"/>
    </row>
    <row r="9" spans="1:21" x14ac:dyDescent="0.5">
      <c r="B9" s="14"/>
      <c r="C9" s="73" t="s">
        <v>52</v>
      </c>
      <c r="D9" s="64"/>
      <c r="E9" s="64"/>
      <c r="F9" s="64"/>
      <c r="G9" s="158">
        <v>102.83628469999999</v>
      </c>
      <c r="H9" s="87">
        <v>164.4556595</v>
      </c>
      <c r="I9" s="87" t="s">
        <v>51</v>
      </c>
      <c r="J9" s="87" t="s">
        <v>51</v>
      </c>
      <c r="K9" s="158" t="s">
        <v>51</v>
      </c>
      <c r="L9" s="87" t="s">
        <v>51</v>
      </c>
      <c r="M9" s="87" t="s">
        <v>51</v>
      </c>
      <c r="N9" s="87" t="s">
        <v>51</v>
      </c>
      <c r="O9" s="87" t="s">
        <v>51</v>
      </c>
      <c r="P9" s="158" t="s">
        <v>51</v>
      </c>
      <c r="Q9" s="87" t="s">
        <v>51</v>
      </c>
      <c r="R9" s="190" t="s">
        <v>51</v>
      </c>
    </row>
    <row r="10" spans="1:21" x14ac:dyDescent="0.5">
      <c r="B10" s="85"/>
      <c r="C10" s="73" t="s">
        <v>4</v>
      </c>
      <c r="D10" s="64"/>
      <c r="E10" s="64"/>
      <c r="F10" s="64"/>
      <c r="G10" s="158">
        <v>34.445384490000002</v>
      </c>
      <c r="H10" s="87" t="s">
        <v>51</v>
      </c>
      <c r="I10" s="87" t="s">
        <v>51</v>
      </c>
      <c r="J10" s="87" t="s">
        <v>51</v>
      </c>
      <c r="K10" s="158" t="s">
        <v>51</v>
      </c>
      <c r="L10" s="87" t="s">
        <v>51</v>
      </c>
      <c r="M10" s="87" t="s">
        <v>51</v>
      </c>
      <c r="N10" s="87" t="s">
        <v>51</v>
      </c>
      <c r="O10" s="87" t="s">
        <v>51</v>
      </c>
      <c r="P10" s="158" t="s">
        <v>51</v>
      </c>
      <c r="Q10" s="87" t="s">
        <v>51</v>
      </c>
      <c r="R10" s="190" t="s">
        <v>51</v>
      </c>
    </row>
    <row r="11" spans="1:21" x14ac:dyDescent="0.5">
      <c r="B11" s="14" t="s">
        <v>5</v>
      </c>
      <c r="C11" s="64"/>
      <c r="D11" s="64"/>
      <c r="E11" s="73"/>
      <c r="F11" s="73"/>
      <c r="G11" s="158">
        <v>36.212045539999998</v>
      </c>
      <c r="H11" s="87">
        <v>36.212045539999998</v>
      </c>
      <c r="I11" s="87">
        <v>36.173962000000003</v>
      </c>
      <c r="J11" s="87">
        <v>39.845411249999998</v>
      </c>
      <c r="K11" s="158">
        <v>22.495811369999998</v>
      </c>
      <c r="L11" s="87">
        <v>44.713356390000001</v>
      </c>
      <c r="M11" s="87">
        <v>18.833895829999999</v>
      </c>
      <c r="N11" s="87">
        <v>15.4392294</v>
      </c>
      <c r="O11" s="87" t="s">
        <v>51</v>
      </c>
      <c r="P11" s="158">
        <v>40.775558340000003</v>
      </c>
      <c r="Q11" s="87" t="s">
        <v>51</v>
      </c>
      <c r="R11" s="190" t="s">
        <v>51</v>
      </c>
    </row>
    <row r="12" spans="1:21" s="64" customFormat="1" x14ac:dyDescent="0.5">
      <c r="B12" s="14" t="s">
        <v>6</v>
      </c>
      <c r="G12" s="158">
        <v>23.744814290000001</v>
      </c>
      <c r="H12" s="87">
        <v>23.744814290000001</v>
      </c>
      <c r="I12" s="87">
        <v>25.18342784</v>
      </c>
      <c r="J12" s="87">
        <v>24.787639739999999</v>
      </c>
      <c r="K12" s="158">
        <v>27.768902239999999</v>
      </c>
      <c r="L12" s="87">
        <v>43.647405650000003</v>
      </c>
      <c r="M12" s="87">
        <v>18.166822450000002</v>
      </c>
      <c r="N12" s="87">
        <v>10.07257735</v>
      </c>
      <c r="O12" s="87" t="s">
        <v>51</v>
      </c>
      <c r="P12" s="158">
        <v>16.950110460000001</v>
      </c>
      <c r="Q12" s="87">
        <v>21.624998600000001</v>
      </c>
      <c r="R12" s="190" t="s">
        <v>51</v>
      </c>
    </row>
    <row r="13" spans="1:21" ht="7.1" customHeight="1" x14ac:dyDescent="0.5">
      <c r="B13" s="85"/>
      <c r="C13" s="64"/>
      <c r="D13" s="64"/>
      <c r="E13" s="64"/>
      <c r="F13" s="64"/>
      <c r="G13" s="158"/>
      <c r="H13" s="87"/>
      <c r="I13" s="87"/>
      <c r="J13" s="87"/>
      <c r="K13" s="158"/>
      <c r="L13" s="87"/>
      <c r="M13" s="87"/>
      <c r="N13" s="87"/>
      <c r="O13" s="87"/>
      <c r="P13" s="158"/>
      <c r="Q13" s="87"/>
      <c r="R13" s="190"/>
    </row>
    <row r="14" spans="1:21" x14ac:dyDescent="0.5">
      <c r="B14" s="86" t="s">
        <v>22</v>
      </c>
      <c r="C14" s="166"/>
      <c r="D14" s="166"/>
      <c r="E14" s="166"/>
      <c r="F14" s="166"/>
      <c r="G14" s="159"/>
      <c r="H14" s="160"/>
      <c r="I14" s="160"/>
      <c r="J14" s="160"/>
      <c r="K14" s="159"/>
      <c r="L14" s="160"/>
      <c r="M14" s="160"/>
      <c r="N14" s="160"/>
      <c r="O14" s="160"/>
      <c r="P14" s="159"/>
      <c r="Q14" s="160"/>
      <c r="R14" s="191"/>
    </row>
    <row r="15" spans="1:21" s="55" customFormat="1" x14ac:dyDescent="0.5">
      <c r="B15" s="14" t="s">
        <v>53</v>
      </c>
      <c r="C15" s="64"/>
      <c r="D15" s="64"/>
      <c r="E15" s="64"/>
      <c r="F15" s="64"/>
      <c r="G15" s="158"/>
      <c r="H15" s="87"/>
      <c r="I15" s="87"/>
      <c r="J15" s="87"/>
      <c r="K15" s="158"/>
      <c r="L15" s="87"/>
      <c r="M15" s="87"/>
      <c r="N15" s="87"/>
      <c r="O15" s="87"/>
      <c r="P15" s="158"/>
      <c r="Q15" s="87"/>
      <c r="R15" s="190"/>
    </row>
    <row r="16" spans="1:21" x14ac:dyDescent="0.5">
      <c r="B16" s="14"/>
      <c r="C16" s="73" t="s">
        <v>49</v>
      </c>
      <c r="D16" s="64"/>
      <c r="E16" s="64"/>
      <c r="F16" s="64"/>
      <c r="G16" s="158" t="s">
        <v>51</v>
      </c>
      <c r="H16" s="87" t="s">
        <v>51</v>
      </c>
      <c r="I16" s="87" t="s">
        <v>51</v>
      </c>
      <c r="J16" s="87" t="s">
        <v>51</v>
      </c>
      <c r="K16" s="158" t="s">
        <v>51</v>
      </c>
      <c r="L16" s="87">
        <v>4.2219631839999998</v>
      </c>
      <c r="M16" s="87">
        <v>3.9412104889999999</v>
      </c>
      <c r="N16" s="87" t="s">
        <v>51</v>
      </c>
      <c r="O16" s="87" t="s">
        <v>51</v>
      </c>
      <c r="P16" s="158">
        <v>4.0823280000000004</v>
      </c>
      <c r="Q16" s="87" t="s">
        <v>51</v>
      </c>
      <c r="R16" s="190" t="s">
        <v>51</v>
      </c>
      <c r="S16" s="1">
        <f>M16/G26</f>
        <v>0.35374823032111513</v>
      </c>
    </row>
    <row r="17" spans="2:19" x14ac:dyDescent="0.5">
      <c r="B17" s="85"/>
      <c r="C17" s="73" t="s">
        <v>50</v>
      </c>
      <c r="D17" s="64"/>
      <c r="E17" s="73"/>
      <c r="F17" s="73"/>
      <c r="G17" s="158" t="s">
        <v>51</v>
      </c>
      <c r="H17" s="87" t="s">
        <v>51</v>
      </c>
      <c r="I17" s="87" t="s">
        <v>51</v>
      </c>
      <c r="J17" s="87" t="s">
        <v>51</v>
      </c>
      <c r="K17" s="158">
        <v>4.1070693819999997</v>
      </c>
      <c r="L17" s="87" t="s">
        <v>51</v>
      </c>
      <c r="M17" s="87">
        <v>2.3208286679999999</v>
      </c>
      <c r="N17" s="87" t="s">
        <v>51</v>
      </c>
      <c r="O17" s="87" t="s">
        <v>51</v>
      </c>
      <c r="P17" s="158">
        <v>3.628736</v>
      </c>
      <c r="Q17" s="87" t="s">
        <v>51</v>
      </c>
      <c r="R17" s="190" t="s">
        <v>51</v>
      </c>
      <c r="S17" s="1">
        <f>K17/G27</f>
        <v>0.33586430537348194</v>
      </c>
    </row>
    <row r="18" spans="2:19" x14ac:dyDescent="0.5">
      <c r="B18" s="14" t="s">
        <v>46</v>
      </c>
      <c r="C18" s="73"/>
      <c r="D18" s="64"/>
      <c r="E18" s="73"/>
      <c r="F18" s="73"/>
      <c r="G18" s="158" t="s">
        <v>51</v>
      </c>
      <c r="H18" s="87" t="s">
        <v>51</v>
      </c>
      <c r="I18" s="87" t="s">
        <v>51</v>
      </c>
      <c r="J18" s="87">
        <v>2.6648529999999999</v>
      </c>
      <c r="K18" s="158">
        <v>1.78715248</v>
      </c>
      <c r="L18" s="87" t="s">
        <v>51</v>
      </c>
      <c r="M18" s="87" t="s">
        <v>51</v>
      </c>
      <c r="N18" s="87" t="s">
        <v>51</v>
      </c>
      <c r="O18" s="87" t="s">
        <v>51</v>
      </c>
      <c r="P18" s="158">
        <v>1.8824068</v>
      </c>
      <c r="Q18" s="87" t="s">
        <v>51</v>
      </c>
      <c r="R18" s="190" t="s">
        <v>51</v>
      </c>
      <c r="S18" s="1">
        <f>K18/L53</f>
        <v>0.51574630399613897</v>
      </c>
    </row>
    <row r="19" spans="2:19" s="64" customFormat="1" x14ac:dyDescent="0.5">
      <c r="B19" s="14" t="s">
        <v>8</v>
      </c>
      <c r="E19" s="73"/>
      <c r="F19" s="73"/>
      <c r="G19" s="158" t="s">
        <v>51</v>
      </c>
      <c r="H19" s="87" t="s">
        <v>51</v>
      </c>
      <c r="I19" s="87">
        <v>20.003407200000002</v>
      </c>
      <c r="J19" s="87">
        <v>22.377205329999999</v>
      </c>
      <c r="K19" s="158">
        <v>21.772416</v>
      </c>
      <c r="L19" s="87">
        <v>13.62760465</v>
      </c>
      <c r="M19" s="87">
        <v>10.319217999999999</v>
      </c>
      <c r="N19" s="87" t="s">
        <v>51</v>
      </c>
      <c r="O19" s="87" t="s">
        <v>51</v>
      </c>
      <c r="P19" s="158">
        <v>8.2167350809999995</v>
      </c>
      <c r="Q19" s="87" t="s">
        <v>51</v>
      </c>
      <c r="R19" s="190" t="s">
        <v>51</v>
      </c>
    </row>
    <row r="20" spans="2:19" ht="7.1" customHeight="1" x14ac:dyDescent="0.5">
      <c r="B20" s="85"/>
      <c r="C20" s="64"/>
      <c r="D20" s="64"/>
      <c r="E20" s="73"/>
      <c r="F20" s="73"/>
      <c r="G20" s="158"/>
      <c r="H20" s="87"/>
      <c r="I20" s="87"/>
      <c r="J20" s="87"/>
      <c r="K20" s="158"/>
      <c r="L20" s="87"/>
      <c r="M20" s="87"/>
      <c r="N20" s="87"/>
      <c r="O20" s="87"/>
      <c r="P20" s="158"/>
      <c r="Q20" s="87"/>
      <c r="R20" s="190"/>
    </row>
    <row r="21" spans="2:19" x14ac:dyDescent="0.5">
      <c r="B21" s="84" t="s">
        <v>23</v>
      </c>
      <c r="C21" s="166"/>
      <c r="D21" s="166"/>
      <c r="E21" s="166"/>
      <c r="F21" s="166"/>
      <c r="G21" s="159"/>
      <c r="H21" s="160"/>
      <c r="I21" s="160"/>
      <c r="J21" s="160"/>
      <c r="K21" s="159"/>
      <c r="L21" s="160"/>
      <c r="M21" s="160"/>
      <c r="N21" s="160"/>
      <c r="O21" s="160"/>
      <c r="P21" s="159"/>
      <c r="Q21" s="160"/>
      <c r="R21" s="191"/>
    </row>
    <row r="22" spans="2:19" x14ac:dyDescent="0.5">
      <c r="B22" s="14" t="s">
        <v>45</v>
      </c>
      <c r="C22" s="64"/>
      <c r="D22" s="64"/>
      <c r="E22" s="73"/>
      <c r="F22" s="73"/>
      <c r="G22" s="158" t="s">
        <v>51</v>
      </c>
      <c r="H22" s="87">
        <v>53.96421823</v>
      </c>
      <c r="I22" s="87" t="s">
        <v>51</v>
      </c>
      <c r="J22" s="87" t="s">
        <v>51</v>
      </c>
      <c r="K22" s="158" t="s">
        <v>51</v>
      </c>
      <c r="L22" s="87" t="s">
        <v>51</v>
      </c>
      <c r="M22" s="87" t="s">
        <v>51</v>
      </c>
      <c r="N22" s="87" t="s">
        <v>51</v>
      </c>
      <c r="O22" s="87">
        <v>12.92359207</v>
      </c>
      <c r="P22" s="158" t="s">
        <v>51</v>
      </c>
      <c r="Q22" s="87" t="s">
        <v>51</v>
      </c>
      <c r="R22" s="190" t="s">
        <v>51</v>
      </c>
    </row>
    <row r="23" spans="2:19" x14ac:dyDescent="0.5">
      <c r="B23" s="14" t="s">
        <v>9</v>
      </c>
      <c r="C23" s="64"/>
      <c r="D23" s="64"/>
      <c r="E23" s="73"/>
      <c r="F23" s="73"/>
      <c r="G23" s="158">
        <v>4.9232600780000002</v>
      </c>
      <c r="H23" s="87" t="s">
        <v>51</v>
      </c>
      <c r="I23" s="87" t="s">
        <v>51</v>
      </c>
      <c r="J23" s="87" t="s">
        <v>51</v>
      </c>
      <c r="K23" s="158" t="s">
        <v>51</v>
      </c>
      <c r="L23" s="87" t="s">
        <v>51</v>
      </c>
      <c r="M23" s="87" t="s">
        <v>51</v>
      </c>
      <c r="N23" s="87" t="s">
        <v>51</v>
      </c>
      <c r="O23" s="87" t="s">
        <v>51</v>
      </c>
      <c r="P23" s="158" t="s">
        <v>51</v>
      </c>
      <c r="Q23" s="87" t="s">
        <v>51</v>
      </c>
      <c r="R23" s="190" t="s">
        <v>51</v>
      </c>
    </row>
    <row r="24" spans="2:19" ht="7.1" customHeight="1" x14ac:dyDescent="0.5">
      <c r="B24" s="85"/>
      <c r="C24" s="64"/>
      <c r="D24" s="64"/>
      <c r="E24" s="64"/>
      <c r="F24" s="64"/>
      <c r="G24" s="158"/>
      <c r="H24" s="87"/>
      <c r="I24" s="87"/>
      <c r="J24" s="87"/>
      <c r="K24" s="158"/>
      <c r="L24" s="87"/>
      <c r="M24" s="87"/>
      <c r="N24" s="87"/>
      <c r="O24" s="87"/>
      <c r="P24" s="158"/>
      <c r="Q24" s="87"/>
      <c r="R24" s="190"/>
    </row>
    <row r="25" spans="2:19" x14ac:dyDescent="0.5">
      <c r="B25" s="84" t="s">
        <v>10</v>
      </c>
      <c r="C25" s="166"/>
      <c r="D25" s="166"/>
      <c r="E25" s="166"/>
      <c r="F25" s="166"/>
      <c r="G25" s="159"/>
      <c r="H25" s="160"/>
      <c r="I25" s="160"/>
      <c r="J25" s="160"/>
      <c r="K25" s="159"/>
      <c r="L25" s="160"/>
      <c r="M25" s="160"/>
      <c r="N25" s="160"/>
      <c r="O25" s="160"/>
      <c r="P25" s="159"/>
      <c r="Q25" s="160"/>
      <c r="R25" s="191"/>
    </row>
    <row r="26" spans="2:19" x14ac:dyDescent="0.5">
      <c r="B26" s="14" t="s">
        <v>49</v>
      </c>
      <c r="C26" s="78"/>
      <c r="D26" s="64"/>
      <c r="E26" s="64"/>
      <c r="F26" s="64"/>
      <c r="G26" s="158">
        <v>11.1412868</v>
      </c>
      <c r="H26" s="87" t="s">
        <v>51</v>
      </c>
      <c r="I26" s="87" t="s">
        <v>51</v>
      </c>
      <c r="J26" s="87" t="s">
        <v>51</v>
      </c>
      <c r="K26" s="158" t="s">
        <v>51</v>
      </c>
      <c r="L26" s="87" t="s">
        <v>51</v>
      </c>
      <c r="M26" s="87" t="s">
        <v>51</v>
      </c>
      <c r="N26" s="87">
        <v>6.4830303650000003</v>
      </c>
      <c r="O26" s="87" t="s">
        <v>51</v>
      </c>
      <c r="P26" s="158" t="s">
        <v>51</v>
      </c>
      <c r="Q26" s="87" t="s">
        <v>51</v>
      </c>
      <c r="R26" s="190" t="s">
        <v>51</v>
      </c>
    </row>
    <row r="27" spans="2:19" s="64" customFormat="1" x14ac:dyDescent="0.5">
      <c r="B27" s="14" t="s">
        <v>50</v>
      </c>
      <c r="C27" s="78"/>
      <c r="G27" s="158">
        <v>12.22835924</v>
      </c>
      <c r="H27" s="87" t="s">
        <v>51</v>
      </c>
      <c r="I27" s="87" t="s">
        <v>51</v>
      </c>
      <c r="J27" s="87" t="s">
        <v>51</v>
      </c>
      <c r="K27" s="158">
        <v>15.29253029</v>
      </c>
      <c r="L27" s="87">
        <v>18.88239329</v>
      </c>
      <c r="M27" s="87">
        <v>9.2521428199999995</v>
      </c>
      <c r="N27" s="87">
        <v>8.3324268870000004</v>
      </c>
      <c r="O27" s="87" t="s">
        <v>51</v>
      </c>
      <c r="P27" s="158">
        <v>15.07135019</v>
      </c>
      <c r="Q27" s="87" t="s">
        <v>51</v>
      </c>
      <c r="R27" s="190" t="s">
        <v>51</v>
      </c>
    </row>
    <row r="28" spans="2:19" ht="7.1" customHeight="1" x14ac:dyDescent="0.5">
      <c r="B28" s="85"/>
      <c r="C28" s="64"/>
      <c r="D28" s="64"/>
      <c r="E28" s="64"/>
      <c r="F28" s="64"/>
      <c r="G28" s="158"/>
      <c r="H28" s="87"/>
      <c r="I28" s="87"/>
      <c r="J28" s="87"/>
      <c r="K28" s="158"/>
      <c r="L28" s="87"/>
      <c r="M28" s="87"/>
      <c r="N28" s="87"/>
      <c r="O28" s="87"/>
      <c r="P28" s="158"/>
      <c r="Q28" s="87"/>
      <c r="R28" s="190"/>
    </row>
    <row r="29" spans="2:19" x14ac:dyDescent="0.5">
      <c r="B29" s="84" t="s">
        <v>24</v>
      </c>
      <c r="C29" s="166"/>
      <c r="D29" s="166"/>
      <c r="E29" s="166"/>
      <c r="F29" s="166"/>
      <c r="G29" s="159"/>
      <c r="H29" s="160"/>
      <c r="I29" s="160"/>
      <c r="J29" s="160"/>
      <c r="K29" s="159"/>
      <c r="L29" s="160"/>
      <c r="M29" s="160"/>
      <c r="N29" s="160"/>
      <c r="O29" s="160"/>
      <c r="P29" s="159"/>
      <c r="Q29" s="160"/>
      <c r="R29" s="191"/>
    </row>
    <row r="30" spans="2:19" x14ac:dyDescent="0.5">
      <c r="B30" s="14" t="s">
        <v>12</v>
      </c>
      <c r="C30" s="64"/>
      <c r="D30" s="64"/>
      <c r="E30" s="64"/>
      <c r="F30" s="64"/>
      <c r="G30" s="158"/>
      <c r="H30" s="87"/>
      <c r="I30" s="87"/>
      <c r="J30" s="87"/>
      <c r="K30" s="158"/>
      <c r="L30" s="87"/>
      <c r="M30" s="87"/>
      <c r="N30" s="87"/>
      <c r="O30" s="87"/>
      <c r="P30" s="158"/>
      <c r="Q30" s="87"/>
      <c r="R30" s="190"/>
    </row>
    <row r="31" spans="2:19" x14ac:dyDescent="0.5">
      <c r="B31" s="85"/>
      <c r="C31" s="73" t="s">
        <v>13</v>
      </c>
      <c r="D31" s="73"/>
      <c r="E31" s="73"/>
      <c r="F31" s="73"/>
      <c r="G31" s="158">
        <v>11.416498280000001</v>
      </c>
      <c r="H31" s="87" t="s">
        <v>51</v>
      </c>
      <c r="I31" s="87">
        <v>16.977948560000002</v>
      </c>
      <c r="J31" s="87">
        <v>17.186732020000001</v>
      </c>
      <c r="K31" s="158" t="s">
        <v>51</v>
      </c>
      <c r="L31" s="87" t="s">
        <v>51</v>
      </c>
      <c r="M31" s="87">
        <v>16.520274229999998</v>
      </c>
      <c r="N31" s="87">
        <v>5.7967238679999999</v>
      </c>
      <c r="O31" s="87" t="s">
        <v>51</v>
      </c>
      <c r="P31" s="158" t="s">
        <v>51</v>
      </c>
      <c r="Q31" s="87" t="s">
        <v>51</v>
      </c>
      <c r="R31" s="190" t="s">
        <v>51</v>
      </c>
    </row>
    <row r="32" spans="2:19" x14ac:dyDescent="0.5">
      <c r="B32" s="13" t="s">
        <v>14</v>
      </c>
      <c r="C32" s="64"/>
      <c r="D32" s="64"/>
      <c r="E32" s="64"/>
      <c r="F32" s="64"/>
      <c r="G32" s="158"/>
      <c r="H32" s="87"/>
      <c r="I32" s="87"/>
      <c r="J32" s="87"/>
      <c r="K32" s="158"/>
      <c r="L32" s="87"/>
      <c r="M32" s="87"/>
      <c r="N32" s="87"/>
      <c r="O32" s="87"/>
      <c r="P32" s="158"/>
      <c r="Q32" s="87"/>
      <c r="R32" s="190"/>
    </row>
    <row r="33" spans="2:18" x14ac:dyDescent="0.5">
      <c r="B33" s="13"/>
      <c r="C33" s="73" t="s">
        <v>15</v>
      </c>
      <c r="D33" s="64"/>
      <c r="E33" s="64"/>
      <c r="F33" s="64"/>
      <c r="G33" s="158" t="s">
        <v>51</v>
      </c>
      <c r="H33" s="87" t="s">
        <v>51</v>
      </c>
      <c r="I33" s="193" t="s">
        <v>51</v>
      </c>
      <c r="J33" s="87" t="s">
        <v>51</v>
      </c>
      <c r="K33" s="158" t="s">
        <v>51</v>
      </c>
      <c r="L33" s="193">
        <v>2.1590979199999998</v>
      </c>
      <c r="M33" s="193">
        <v>3.4288315260000002</v>
      </c>
      <c r="N33" s="87" t="s">
        <v>51</v>
      </c>
      <c r="O33" s="87" t="s">
        <v>51</v>
      </c>
      <c r="P33" s="158">
        <v>5.8286572000000003</v>
      </c>
      <c r="Q33" s="87" t="s">
        <v>51</v>
      </c>
      <c r="R33" s="190">
        <v>2.9823673999999998</v>
      </c>
    </row>
    <row r="34" spans="2:18" x14ac:dyDescent="0.5">
      <c r="B34" s="13"/>
      <c r="C34" s="73" t="s">
        <v>16</v>
      </c>
      <c r="D34" s="64"/>
      <c r="E34" s="64"/>
      <c r="F34" s="64"/>
      <c r="G34" s="158">
        <v>2.1020629259999999</v>
      </c>
      <c r="H34" s="87">
        <v>2.1020629259999999</v>
      </c>
      <c r="I34" s="87" t="s">
        <v>51</v>
      </c>
      <c r="J34" s="87" t="s">
        <v>51</v>
      </c>
      <c r="K34" s="158" t="s">
        <v>51</v>
      </c>
      <c r="L34" s="87">
        <v>1.5981621130000001</v>
      </c>
      <c r="M34" s="87" t="s">
        <v>51</v>
      </c>
      <c r="N34" s="87" t="s">
        <v>51</v>
      </c>
      <c r="O34" s="87" t="s">
        <v>51</v>
      </c>
      <c r="P34" s="158">
        <v>1.342551321</v>
      </c>
      <c r="Q34" s="87" t="s">
        <v>51</v>
      </c>
      <c r="R34" s="190" t="s">
        <v>51</v>
      </c>
    </row>
    <row r="35" spans="2:18" x14ac:dyDescent="0.5">
      <c r="B35" s="13"/>
      <c r="C35" s="73" t="s">
        <v>17</v>
      </c>
      <c r="D35" s="64"/>
      <c r="E35" s="64"/>
      <c r="F35" s="64"/>
      <c r="G35" s="158" t="s">
        <v>51</v>
      </c>
      <c r="H35" s="87" t="s">
        <v>51</v>
      </c>
      <c r="I35" s="87" t="s">
        <v>51</v>
      </c>
      <c r="J35" s="87" t="s">
        <v>51</v>
      </c>
      <c r="K35" s="158" t="s">
        <v>51</v>
      </c>
      <c r="L35" s="87">
        <v>0.32885419999999999</v>
      </c>
      <c r="M35" s="87" t="s">
        <v>51</v>
      </c>
      <c r="N35" s="87" t="s">
        <v>51</v>
      </c>
      <c r="O35" s="87" t="s">
        <v>51</v>
      </c>
      <c r="P35" s="158" t="s">
        <v>51</v>
      </c>
      <c r="Q35" s="87" t="s">
        <v>51</v>
      </c>
      <c r="R35" s="190">
        <v>1.0967854560000001</v>
      </c>
    </row>
    <row r="36" spans="2:18" s="64" customFormat="1" x14ac:dyDescent="0.5">
      <c r="B36" s="85"/>
      <c r="C36" s="73" t="s">
        <v>18</v>
      </c>
      <c r="G36" s="158" t="s">
        <v>51</v>
      </c>
      <c r="H36" s="87" t="s">
        <v>51</v>
      </c>
      <c r="I36" s="87" t="s">
        <v>51</v>
      </c>
      <c r="J36" s="87" t="s">
        <v>51</v>
      </c>
      <c r="K36" s="158" t="s">
        <v>51</v>
      </c>
      <c r="L36" s="87" t="s">
        <v>51</v>
      </c>
      <c r="M36" s="87" t="s">
        <v>51</v>
      </c>
      <c r="N36" s="87" t="s">
        <v>51</v>
      </c>
      <c r="O36" s="87" t="s">
        <v>51</v>
      </c>
      <c r="P36" s="158" t="s">
        <v>51</v>
      </c>
      <c r="Q36" s="87" t="s">
        <v>51</v>
      </c>
      <c r="R36" s="190">
        <v>6.8189997330000001</v>
      </c>
    </row>
    <row r="37" spans="2:18" ht="7.1" customHeight="1" x14ac:dyDescent="0.5">
      <c r="B37" s="85"/>
      <c r="C37" s="64"/>
      <c r="D37" s="64"/>
      <c r="E37" s="64"/>
      <c r="F37" s="64"/>
      <c r="G37" s="158"/>
      <c r="H37" s="87"/>
      <c r="I37" s="87"/>
      <c r="J37" s="87"/>
      <c r="K37" s="158"/>
      <c r="L37" s="87"/>
      <c r="M37" s="87"/>
      <c r="N37" s="87"/>
      <c r="O37" s="87"/>
      <c r="P37" s="158"/>
      <c r="Q37" s="87"/>
      <c r="R37" s="190"/>
    </row>
    <row r="38" spans="2:18" x14ac:dyDescent="0.5">
      <c r="B38" s="86" t="s">
        <v>19</v>
      </c>
      <c r="C38" s="166"/>
      <c r="D38" s="166"/>
      <c r="E38" s="167"/>
      <c r="F38" s="167"/>
      <c r="G38" s="159"/>
      <c r="H38" s="160"/>
      <c r="I38" s="160"/>
      <c r="J38" s="160"/>
      <c r="K38" s="159"/>
      <c r="L38" s="160"/>
      <c r="M38" s="160"/>
      <c r="N38" s="160"/>
      <c r="O38" s="160"/>
      <c r="P38" s="159"/>
      <c r="Q38" s="160"/>
      <c r="R38" s="191"/>
    </row>
    <row r="39" spans="2:18" s="64" customFormat="1" x14ac:dyDescent="0.5">
      <c r="B39" s="14" t="s">
        <v>19</v>
      </c>
      <c r="E39" s="73"/>
      <c r="F39" s="73"/>
      <c r="G39" s="158" t="s">
        <v>51</v>
      </c>
      <c r="H39" s="87">
        <v>5.4255393439999997</v>
      </c>
      <c r="I39" s="87" t="s">
        <v>51</v>
      </c>
      <c r="J39" s="87" t="s">
        <v>51</v>
      </c>
      <c r="K39" s="158" t="s">
        <v>51</v>
      </c>
      <c r="L39" s="87" t="s">
        <v>51</v>
      </c>
      <c r="M39" s="87" t="s">
        <v>51</v>
      </c>
      <c r="N39" s="87" t="s">
        <v>51</v>
      </c>
      <c r="O39" s="87" t="s">
        <v>51</v>
      </c>
      <c r="P39" s="158" t="s">
        <v>51</v>
      </c>
      <c r="Q39" s="87" t="s">
        <v>51</v>
      </c>
      <c r="R39" s="190" t="s">
        <v>51</v>
      </c>
    </row>
    <row r="40" spans="2:18" ht="7.1" customHeight="1" x14ac:dyDescent="0.5">
      <c r="B40" s="14"/>
      <c r="C40" s="64"/>
      <c r="D40" s="64"/>
      <c r="E40" s="73"/>
      <c r="F40" s="73"/>
      <c r="G40" s="158"/>
      <c r="H40" s="87"/>
      <c r="I40" s="87"/>
      <c r="J40" s="87"/>
      <c r="K40" s="158"/>
      <c r="L40" s="87"/>
      <c r="M40" s="87"/>
      <c r="N40" s="87"/>
      <c r="O40" s="87"/>
      <c r="P40" s="158"/>
      <c r="Q40" s="87"/>
      <c r="R40" s="190"/>
    </row>
    <row r="41" spans="2:18" x14ac:dyDescent="0.5">
      <c r="B41" s="86" t="s">
        <v>25</v>
      </c>
      <c r="C41" s="166"/>
      <c r="D41" s="166"/>
      <c r="E41" s="166"/>
      <c r="F41" s="166"/>
      <c r="G41" s="159"/>
      <c r="H41" s="160"/>
      <c r="I41" s="160"/>
      <c r="J41" s="160"/>
      <c r="K41" s="159"/>
      <c r="L41" s="160"/>
      <c r="M41" s="160"/>
      <c r="N41" s="160"/>
      <c r="O41" s="160"/>
      <c r="P41" s="159"/>
      <c r="Q41" s="160"/>
      <c r="R41" s="191"/>
    </row>
    <row r="42" spans="2:18" x14ac:dyDescent="0.5">
      <c r="B42" s="14" t="s">
        <v>25</v>
      </c>
      <c r="C42" s="64"/>
      <c r="D42" s="64"/>
      <c r="E42" s="64"/>
      <c r="F42" s="64"/>
      <c r="G42" s="158">
        <v>3.6765611370000002</v>
      </c>
      <c r="H42" s="87" t="s">
        <v>51</v>
      </c>
      <c r="I42" s="87" t="s">
        <v>51</v>
      </c>
      <c r="J42" s="87" t="s">
        <v>51</v>
      </c>
      <c r="K42" s="158" t="s">
        <v>51</v>
      </c>
      <c r="L42" s="87" t="s">
        <v>51</v>
      </c>
      <c r="M42" s="87" t="s">
        <v>51</v>
      </c>
      <c r="N42" s="87" t="s">
        <v>51</v>
      </c>
      <c r="O42" s="87" t="s">
        <v>51</v>
      </c>
      <c r="P42" s="158" t="s">
        <v>51</v>
      </c>
      <c r="Q42" s="87">
        <v>2.7927407440000001</v>
      </c>
      <c r="R42" s="190" t="s">
        <v>51</v>
      </c>
    </row>
    <row r="43" spans="2:18" ht="7.1" customHeight="1" x14ac:dyDescent="0.5">
      <c r="B43" s="14"/>
      <c r="C43" s="64"/>
      <c r="D43" s="64"/>
      <c r="E43" s="64"/>
      <c r="F43" s="64"/>
      <c r="G43" s="158"/>
      <c r="H43" s="87"/>
      <c r="I43" s="87"/>
      <c r="J43" s="87"/>
      <c r="K43" s="158"/>
      <c r="L43" s="87"/>
      <c r="M43" s="87"/>
      <c r="N43" s="87"/>
      <c r="O43" s="87"/>
      <c r="P43" s="158"/>
      <c r="Q43" s="87"/>
      <c r="R43" s="190"/>
    </row>
    <row r="44" spans="2:18" x14ac:dyDescent="0.5">
      <c r="B44" s="86" t="s">
        <v>4</v>
      </c>
      <c r="C44" s="166"/>
      <c r="D44" s="166"/>
      <c r="E44" s="166"/>
      <c r="F44" s="166"/>
      <c r="G44" s="159"/>
      <c r="H44" s="160"/>
      <c r="I44" s="160"/>
      <c r="J44" s="160"/>
      <c r="K44" s="159"/>
      <c r="L44" s="160"/>
      <c r="M44" s="160"/>
      <c r="N44" s="160"/>
      <c r="O44" s="160"/>
      <c r="P44" s="159"/>
      <c r="Q44" s="160"/>
      <c r="R44" s="191"/>
    </row>
    <row r="45" spans="2:18" x14ac:dyDescent="0.5">
      <c r="B45" s="14" t="s">
        <v>20</v>
      </c>
      <c r="C45" s="64"/>
      <c r="D45" s="64"/>
      <c r="E45" s="73"/>
      <c r="F45" s="73"/>
      <c r="G45" s="158">
        <v>9.7133486859999998</v>
      </c>
      <c r="H45" s="87">
        <v>69.399575999999996</v>
      </c>
      <c r="I45" s="87" t="s">
        <v>51</v>
      </c>
      <c r="J45" s="87">
        <v>27.665080069999998</v>
      </c>
      <c r="K45" s="158" t="s">
        <v>51</v>
      </c>
      <c r="L45" s="87" t="s">
        <v>51</v>
      </c>
      <c r="M45" s="87" t="s">
        <v>51</v>
      </c>
      <c r="N45" s="87" t="s">
        <v>51</v>
      </c>
      <c r="O45" s="87" t="s">
        <v>51</v>
      </c>
      <c r="P45" s="158" t="s">
        <v>51</v>
      </c>
      <c r="Q45" s="87" t="s">
        <v>51</v>
      </c>
      <c r="R45" s="190" t="s">
        <v>51</v>
      </c>
    </row>
    <row r="46" spans="2:18" x14ac:dyDescent="0.5">
      <c r="B46" s="14" t="s">
        <v>11</v>
      </c>
      <c r="C46" s="64"/>
      <c r="D46" s="64"/>
      <c r="E46" s="73"/>
      <c r="F46" s="73"/>
      <c r="G46" s="158">
        <v>1.3260006129999999</v>
      </c>
      <c r="H46" s="87" t="s">
        <v>51</v>
      </c>
      <c r="I46" s="87" t="s">
        <v>51</v>
      </c>
      <c r="J46" s="87">
        <v>4.4225219999999998</v>
      </c>
      <c r="K46" s="158">
        <v>3.9008911999999998</v>
      </c>
      <c r="L46" s="87">
        <v>4.4202540399999997</v>
      </c>
      <c r="M46" s="87">
        <v>3.55616128</v>
      </c>
      <c r="N46" s="87">
        <v>1.9504455999999999</v>
      </c>
      <c r="O46" s="87" t="s">
        <v>51</v>
      </c>
      <c r="P46" s="158">
        <v>2.8092464530000001</v>
      </c>
      <c r="Q46" s="87" t="s">
        <v>51</v>
      </c>
      <c r="R46" s="190" t="s">
        <v>51</v>
      </c>
    </row>
    <row r="47" spans="2:18" s="64" customFormat="1" ht="14.7" thickBot="1" x14ac:dyDescent="0.55000000000000004">
      <c r="B47" s="38" t="s">
        <v>55</v>
      </c>
      <c r="C47" s="16"/>
      <c r="D47" s="16"/>
      <c r="E47" s="15"/>
      <c r="F47" s="15"/>
      <c r="G47" s="161" t="s">
        <v>51</v>
      </c>
      <c r="H47" s="162">
        <v>5.7907624780000004</v>
      </c>
      <c r="I47" s="162" t="s">
        <v>51</v>
      </c>
      <c r="J47" s="162" t="s">
        <v>51</v>
      </c>
      <c r="K47" s="161" t="s">
        <v>51</v>
      </c>
      <c r="L47" s="162" t="s">
        <v>51</v>
      </c>
      <c r="M47" s="162" t="s">
        <v>51</v>
      </c>
      <c r="N47" s="162" t="s">
        <v>51</v>
      </c>
      <c r="O47" s="162" t="s">
        <v>51</v>
      </c>
      <c r="P47" s="161" t="s">
        <v>51</v>
      </c>
      <c r="Q47" s="162" t="s">
        <v>51</v>
      </c>
      <c r="R47" s="192" t="s">
        <v>51</v>
      </c>
    </row>
    <row r="50" spans="12:14" x14ac:dyDescent="0.5">
      <c r="L50" s="1">
        <v>1248.6130779985585</v>
      </c>
      <c r="M50" s="1">
        <v>1004.5281202163879</v>
      </c>
      <c r="N50" s="1">
        <v>847.61988165825505</v>
      </c>
    </row>
    <row r="52" spans="12:14" x14ac:dyDescent="0.5">
      <c r="L52" s="1">
        <f>SUMPRODUCT(L50:N50,L46:N46)</f>
        <v>10744.687476857531</v>
      </c>
    </row>
    <row r="53" spans="12:14" x14ac:dyDescent="0.5">
      <c r="L53" s="1">
        <f>L52/(SUM(L50:N50))</f>
        <v>3.4651774838766065</v>
      </c>
    </row>
  </sheetData>
  <mergeCells count="3">
    <mergeCell ref="P4:R4"/>
    <mergeCell ref="K4:O4"/>
    <mergeCell ref="G4:J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W110"/>
  <sheetViews>
    <sheetView showGridLines="0" workbookViewId="0">
      <selection activeCell="P61" sqref="P61"/>
    </sheetView>
  </sheetViews>
  <sheetFormatPr defaultColWidth="8.76171875" defaultRowHeight="14.35" x14ac:dyDescent="0.5"/>
  <cols>
    <col min="1" max="3" width="2.3515625" style="45" customWidth="1"/>
    <col min="4" max="15" width="10.41015625" style="45" customWidth="1"/>
    <col min="16" max="16" width="12.1171875" style="45" bestFit="1" customWidth="1"/>
    <col min="17" max="21" width="10.41015625" style="45" customWidth="1"/>
    <col min="22" max="16384" width="8.76171875" style="45"/>
  </cols>
  <sheetData>
    <row r="1" spans="1:21" s="79" customFormat="1" ht="18" x14ac:dyDescent="0.6">
      <c r="A1" s="79" t="s">
        <v>103</v>
      </c>
    </row>
    <row r="2" spans="1:21" ht="14.7" thickBot="1" x14ac:dyDescent="0.55000000000000004"/>
    <row r="3" spans="1:21" s="1" customFormat="1" ht="16" thickBot="1" x14ac:dyDescent="0.6">
      <c r="B3" s="168" t="str">
        <f ca="1">"Total Units, National (millions) -- "&amp;'On or Off Premise'!I5&amp;'On or Off Premise'!I6</f>
        <v>Total Units, National (millions) -- All Units</v>
      </c>
      <c r="C3" s="169"/>
      <c r="D3" s="169"/>
      <c r="E3" s="170"/>
      <c r="F3" s="170"/>
      <c r="G3" s="171"/>
      <c r="H3" s="171"/>
      <c r="I3" s="171"/>
      <c r="J3" s="171"/>
      <c r="K3" s="171"/>
      <c r="L3" s="171"/>
      <c r="M3" s="171"/>
      <c r="N3" s="171"/>
      <c r="O3" s="171"/>
      <c r="P3" s="171"/>
      <c r="Q3" s="171"/>
      <c r="R3" s="171"/>
      <c r="S3" s="171"/>
      <c r="T3" s="171"/>
      <c r="U3" s="172"/>
    </row>
    <row r="4" spans="1:21" s="1" customFormat="1" ht="16" thickBot="1" x14ac:dyDescent="0.6">
      <c r="B4" s="205"/>
      <c r="C4" s="198"/>
      <c r="D4" s="198"/>
      <c r="E4" s="197"/>
      <c r="F4" s="66"/>
      <c r="G4" s="209" t="s">
        <v>73</v>
      </c>
      <c r="H4" s="210"/>
      <c r="I4" s="210"/>
      <c r="J4" s="210"/>
      <c r="K4" s="211"/>
      <c r="L4" s="207" t="s">
        <v>72</v>
      </c>
      <c r="M4" s="206"/>
      <c r="N4" s="206"/>
      <c r="O4" s="206"/>
      <c r="P4" s="206"/>
      <c r="Q4" s="208"/>
      <c r="R4" s="375" t="s">
        <v>4</v>
      </c>
      <c r="S4" s="376"/>
      <c r="T4" s="387"/>
      <c r="U4" s="119"/>
    </row>
    <row r="5" spans="1:21" s="65" customFormat="1" ht="15.7" x14ac:dyDescent="0.55000000000000004">
      <c r="B5" s="163"/>
      <c r="C5" s="59"/>
      <c r="D5" s="59"/>
      <c r="E5" s="59"/>
      <c r="F5" s="59"/>
      <c r="G5" s="57" t="str">
        <f>+IF(ISBLANK('Material %'!G10)*1=1,"",'Material %'!G10)</f>
        <v>Lined</v>
      </c>
      <c r="H5" s="28" t="str">
        <f>+IF(ISBLANK('Material %'!H10)*1=1,"",'Material %'!H10)</f>
        <v>Unlined</v>
      </c>
      <c r="I5" s="28" t="str">
        <f>+IF(ISBLANK('Material %'!I10)*1=1,"",'Material %'!I10)</f>
        <v>Molded</v>
      </c>
      <c r="J5" s="28" t="str">
        <f>+IF(ISBLANK('Material %'!J10)*1=1,"",'Material %'!J10)</f>
        <v>Plant</v>
      </c>
      <c r="K5" s="69" t="str">
        <f>+IF(ISBLANK('Material %'!K10)*1=1,"",'Material %'!K10)</f>
        <v>TOTAL</v>
      </c>
      <c r="L5" s="57"/>
      <c r="M5" s="28"/>
      <c r="N5" s="28"/>
      <c r="O5" s="28" t="str">
        <f>+IF(ISBLANK('Material %'!O10)*1=1,"",'Material %'!O10)</f>
        <v>EPS</v>
      </c>
      <c r="P5" s="28" t="s">
        <v>71</v>
      </c>
      <c r="Q5" s="69" t="str">
        <f>+IF(ISBLANK('Material %'!Q10)*1=1,"",'Material %'!Q10)</f>
        <v>TOTAL</v>
      </c>
      <c r="R5" s="28"/>
      <c r="S5" s="28"/>
      <c r="T5" s="28"/>
      <c r="U5" s="204" t="str">
        <f>+IF(ISBLANK('Material %'!U10)*1=1,"",'Material %'!U10)</f>
        <v>GRAND</v>
      </c>
    </row>
    <row r="6" spans="1:21" s="65" customFormat="1" ht="16" thickBot="1" x14ac:dyDescent="0.6">
      <c r="B6" s="164"/>
      <c r="C6" s="29"/>
      <c r="D6" s="29"/>
      <c r="E6" s="29"/>
      <c r="F6" s="29"/>
      <c r="G6" s="58" t="str">
        <f>+IF(ISBLANK('Material %'!G11)*1=1,"",'Material %'!G11)</f>
        <v>Paper</v>
      </c>
      <c r="H6" s="29" t="str">
        <f>+IF(ISBLANK('Material %'!H11)*1=1,"",'Material %'!H11)</f>
        <v>Paper</v>
      </c>
      <c r="I6" s="29" t="str">
        <f>+IF(ISBLANK('Material %'!I11)*1=1,"",'Material %'!I11)</f>
        <v>Fiber</v>
      </c>
      <c r="J6" s="29" t="str">
        <f>+IF(ISBLANK('Material %'!J11)*1=1,"",'Material %'!J11)</f>
        <v>Fiber</v>
      </c>
      <c r="K6" s="70" t="str">
        <f>+IF(ISBLANK('Material %'!K11)*1=1,"",'Material %'!K11)</f>
        <v>PAPER</v>
      </c>
      <c r="L6" s="58" t="str">
        <f>+IF(ISBLANK('Material %'!L11)*1=1,"",'Material %'!L11)</f>
        <v>PET</v>
      </c>
      <c r="M6" s="29" t="str">
        <f>+IF(ISBLANK('Material %'!M11)*1=1,"",'Material %'!M11)</f>
        <v>PP</v>
      </c>
      <c r="N6" s="29" t="str">
        <f>+IF(ISBLANK('Material %'!N11)*1=1,"",'Material %'!N11)</f>
        <v>PS</v>
      </c>
      <c r="O6" s="29" t="str">
        <f>+IF(ISBLANK('Material %'!O11)*1=1,"",'Material %'!O11)</f>
        <v>Foam</v>
      </c>
      <c r="P6" s="29" t="s">
        <v>183</v>
      </c>
      <c r="Q6" s="70" t="str">
        <f>+IF(ISBLANK('Material %'!Q11)*1=1,"",'Material %'!Q11)</f>
        <v>PLASTIC</v>
      </c>
      <c r="R6" s="29" t="str">
        <f>+IF(ISBLANK('Material %'!R11)*1=1,"",'Material %'!R11)</f>
        <v>PLA</v>
      </c>
      <c r="S6" s="29" t="str">
        <f>+IF(ISBLANK('Material %'!S11)*1=1,"",'Material %'!S11)</f>
        <v>Aluminum</v>
      </c>
      <c r="T6" s="29" t="str">
        <f>+IF(ISBLANK('Material %'!T11)*1=1,"",'Material %'!T11)</f>
        <v>Wood</v>
      </c>
      <c r="U6" s="120" t="str">
        <f>+IF(ISBLANK('Material %'!U11)*1=1,"",'Material %'!U11)</f>
        <v>TOTAL</v>
      </c>
    </row>
    <row r="7" spans="1:21" s="1" customFormat="1" ht="15.7" x14ac:dyDescent="0.55000000000000004">
      <c r="B7" s="84" t="s">
        <v>21</v>
      </c>
      <c r="C7" s="173"/>
      <c r="D7" s="173"/>
      <c r="E7" s="166"/>
      <c r="F7" s="131"/>
      <c r="G7" s="132"/>
      <c r="H7" s="133"/>
      <c r="I7" s="133"/>
      <c r="J7" s="133"/>
      <c r="K7" s="134"/>
      <c r="L7" s="132"/>
      <c r="M7" s="133"/>
      <c r="N7" s="133"/>
      <c r="O7" s="133"/>
      <c r="P7" s="133"/>
      <c r="Q7" s="134"/>
      <c r="R7" s="133"/>
      <c r="S7" s="133"/>
      <c r="T7" s="133"/>
      <c r="U7" s="135"/>
    </row>
    <row r="8" spans="1:21" s="1" customFormat="1" x14ac:dyDescent="0.5">
      <c r="A8" s="64"/>
      <c r="B8" s="14" t="s">
        <v>59</v>
      </c>
      <c r="C8" s="64"/>
      <c r="D8" s="64"/>
      <c r="E8" s="64"/>
      <c r="F8" s="64"/>
      <c r="G8" s="136"/>
      <c r="H8" s="74"/>
      <c r="I8" s="74"/>
      <c r="J8" s="74"/>
      <c r="K8" s="137"/>
      <c r="L8" s="136"/>
      <c r="M8" s="74"/>
      <c r="N8" s="74"/>
      <c r="O8" s="74"/>
      <c r="P8" s="74"/>
      <c r="Q8" s="137"/>
      <c r="R8" s="74"/>
      <c r="S8" s="74"/>
      <c r="T8" s="74"/>
      <c r="U8" s="138"/>
    </row>
    <row r="9" spans="1:21" s="1" customFormat="1" x14ac:dyDescent="0.5">
      <c r="A9" s="64"/>
      <c r="B9" s="14"/>
      <c r="C9" s="73" t="s">
        <v>52</v>
      </c>
      <c r="D9" s="64"/>
      <c r="E9" s="64"/>
      <c r="F9" s="64"/>
      <c r="G9" s="136">
        <f ca="1">+'National Results'!$G14*'Material %'!G16</f>
        <v>420</v>
      </c>
      <c r="H9" s="74">
        <f ca="1">+'National Results'!$G14*'Material %'!H16</f>
        <v>979.99999999999989</v>
      </c>
      <c r="I9" s="74">
        <f ca="1">+'National Results'!$G14*'Material %'!I16</f>
        <v>0</v>
      </c>
      <c r="J9" s="74">
        <f ca="1">+'National Results'!$G14*'Material %'!J16</f>
        <v>0</v>
      </c>
      <c r="K9" s="137">
        <f ca="1">+G9+H9</f>
        <v>1400</v>
      </c>
      <c r="L9" s="136">
        <f ca="1">+'National Results'!$G14*'Material %'!L16</f>
        <v>0</v>
      </c>
      <c r="M9" s="74">
        <f ca="1">+'National Results'!$G14*'Material %'!M16</f>
        <v>0</v>
      </c>
      <c r="N9" s="74">
        <f ca="1">+'National Results'!$G14*'Material %'!N16</f>
        <v>0</v>
      </c>
      <c r="O9" s="74">
        <f ca="1">+'National Results'!$G14*'Material %'!O16</f>
        <v>0</v>
      </c>
      <c r="P9" s="74">
        <f ca="1">+'National Results'!$G14*'Material %'!P16</f>
        <v>0</v>
      </c>
      <c r="Q9" s="137">
        <f ca="1">SUM(L9:P9)</f>
        <v>0</v>
      </c>
      <c r="R9" s="74">
        <f ca="1">+'National Results'!$G14*'Material %'!R16</f>
        <v>0</v>
      </c>
      <c r="S9" s="74">
        <f ca="1">+'National Results'!$G14*'Material %'!S16</f>
        <v>0</v>
      </c>
      <c r="T9" s="74">
        <f ca="1">+'National Results'!$G14*'Material %'!T16</f>
        <v>0</v>
      </c>
      <c r="U9" s="138">
        <f ca="1">+SUM(K9,Q9:T9)</f>
        <v>1400</v>
      </c>
    </row>
    <row r="10" spans="1:21" s="1" customFormat="1" x14ac:dyDescent="0.5">
      <c r="A10" s="64"/>
      <c r="B10" s="85"/>
      <c r="C10" s="73" t="s">
        <v>4</v>
      </c>
      <c r="D10" s="64"/>
      <c r="E10" s="64"/>
      <c r="F10" s="64"/>
      <c r="G10" s="136">
        <f ca="1">+'National Results'!$G15*'Material %'!G17</f>
        <v>2356</v>
      </c>
      <c r="H10" s="74">
        <f ca="1">+'National Results'!$G15*'Material %'!H17</f>
        <v>0</v>
      </c>
      <c r="I10" s="74">
        <f ca="1">+'National Results'!$G15*'Material %'!I17</f>
        <v>0</v>
      </c>
      <c r="J10" s="74">
        <f ca="1">+'National Results'!$G15*'Material %'!J17</f>
        <v>0</v>
      </c>
      <c r="K10" s="137">
        <f ca="1">+G10+H10</f>
        <v>2356</v>
      </c>
      <c r="L10" s="136">
        <f ca="1">+'National Results'!$G15*'Material %'!L17</f>
        <v>0</v>
      </c>
      <c r="M10" s="74">
        <f ca="1">+'National Results'!$G15*'Material %'!M17</f>
        <v>0</v>
      </c>
      <c r="N10" s="74">
        <f ca="1">+'National Results'!$G15*'Material %'!N17</f>
        <v>0</v>
      </c>
      <c r="O10" s="74">
        <f ca="1">+'National Results'!$G15*'Material %'!O17</f>
        <v>0</v>
      </c>
      <c r="P10" s="74">
        <f ca="1">+'National Results'!$G15*'Material %'!P17</f>
        <v>0</v>
      </c>
      <c r="Q10" s="137">
        <f t="shared" ref="Q10:Q11" ca="1" si="0">SUM(L10:P10)</f>
        <v>0</v>
      </c>
      <c r="R10" s="74">
        <f ca="1">+'National Results'!$G15*'Material %'!R17</f>
        <v>0</v>
      </c>
      <c r="S10" s="74">
        <f ca="1">+'National Results'!$G15*'Material %'!S17</f>
        <v>0</v>
      </c>
      <c r="T10" s="74">
        <f ca="1">+'National Results'!$G15*'Material %'!T17</f>
        <v>0</v>
      </c>
      <c r="U10" s="138">
        <f ca="1">+SUM(K10,Q10:T10)</f>
        <v>2356</v>
      </c>
    </row>
    <row r="11" spans="1:21" s="1" customFormat="1" x14ac:dyDescent="0.5">
      <c r="A11" s="64"/>
      <c r="B11" s="14" t="s">
        <v>5</v>
      </c>
      <c r="C11" s="64"/>
      <c r="D11" s="64"/>
      <c r="E11" s="73"/>
      <c r="F11" s="73"/>
      <c r="G11" s="136">
        <f ca="1">+'National Results'!$G16*'Material %'!G18</f>
        <v>132.82</v>
      </c>
      <c r="H11" s="74">
        <f ca="1">+'National Results'!$G16*'Material %'!H18</f>
        <v>132.82</v>
      </c>
      <c r="I11" s="74">
        <f ca="1">+'National Results'!$G16*'Material %'!I18</f>
        <v>132.82</v>
      </c>
      <c r="J11" s="74">
        <f ca="1">+'National Results'!$G16*'Material %'!J18</f>
        <v>132.82</v>
      </c>
      <c r="K11" s="137">
        <f ca="1">+G11+H11</f>
        <v>265.64</v>
      </c>
      <c r="L11" s="136">
        <f ca="1">+'National Results'!$G16*'Material %'!L18</f>
        <v>1328.2</v>
      </c>
      <c r="M11" s="74">
        <f ca="1">+'National Results'!$G16*'Material %'!M18</f>
        <v>1328.2</v>
      </c>
      <c r="N11" s="74">
        <f ca="1">+'National Results'!$G16*'Material %'!N18</f>
        <v>1328.2</v>
      </c>
      <c r="O11" s="74">
        <f ca="1">+'National Results'!$G16*'Material %'!O18</f>
        <v>8633.3000000000011</v>
      </c>
      <c r="P11" s="74">
        <f ca="1">+'National Results'!$G16*'Material %'!P18</f>
        <v>0</v>
      </c>
      <c r="Q11" s="137">
        <f t="shared" ca="1" si="0"/>
        <v>12617.900000000001</v>
      </c>
      <c r="R11" s="74">
        <f ca="1">+'National Results'!$G16*'Material %'!R18</f>
        <v>132.82</v>
      </c>
      <c r="S11" s="74">
        <f ca="1">+'National Results'!$G16*'Material %'!S18</f>
        <v>0</v>
      </c>
      <c r="T11" s="74">
        <f ca="1">+'National Results'!$G16*'Material %'!T18</f>
        <v>0</v>
      </c>
      <c r="U11" s="138">
        <f ca="1">+SUM(K11,Q11:T11)</f>
        <v>13016.36</v>
      </c>
    </row>
    <row r="12" spans="1:21" s="1" customFormat="1" x14ac:dyDescent="0.5">
      <c r="A12" s="64"/>
      <c r="B12" s="174" t="s">
        <v>6</v>
      </c>
      <c r="C12" s="47"/>
      <c r="D12" s="48"/>
      <c r="E12" s="48"/>
      <c r="F12" s="48"/>
      <c r="G12" s="143">
        <f ca="1">+'National Results'!$G17*'Material %'!G19</f>
        <v>371.35</v>
      </c>
      <c r="H12" s="49">
        <f ca="1">+'National Results'!$G17*'Material %'!H19</f>
        <v>0</v>
      </c>
      <c r="I12" s="49">
        <f ca="1">+'National Results'!$G17*'Material %'!I19</f>
        <v>2228.1</v>
      </c>
      <c r="J12" s="49">
        <f ca="1">+'National Results'!$G17*'Material %'!J19</f>
        <v>74.27</v>
      </c>
      <c r="K12" s="144">
        <f ca="1">+G12+H12</f>
        <v>371.35</v>
      </c>
      <c r="L12" s="143">
        <f ca="1">+'National Results'!$G17*'Material %'!L19</f>
        <v>297.08</v>
      </c>
      <c r="M12" s="49">
        <f ca="1">+'National Results'!$G17*'Material %'!M19</f>
        <v>297.08</v>
      </c>
      <c r="N12" s="49">
        <f ca="1">+'National Results'!$G17*'Material %'!N19</f>
        <v>297.08</v>
      </c>
      <c r="O12" s="49">
        <f ca="1">+'National Results'!$G17*'Material %'!O19</f>
        <v>3713.5</v>
      </c>
      <c r="P12" s="49">
        <f ca="1">+'National Results'!$G17*'Material %'!P19</f>
        <v>0</v>
      </c>
      <c r="Q12" s="144">
        <f ca="1">SUM(L12:P12)</f>
        <v>4604.74</v>
      </c>
      <c r="R12" s="49">
        <f ca="1">+'National Results'!$G17*'Material %'!R19</f>
        <v>74.27</v>
      </c>
      <c r="S12" s="49">
        <f ca="1">+'National Results'!$G17*'Material %'!S19</f>
        <v>74.27</v>
      </c>
      <c r="T12" s="49">
        <f ca="1">+'National Results'!$G17*'Material %'!T19</f>
        <v>0</v>
      </c>
      <c r="U12" s="145">
        <f ca="1">+SUM(K12,Q12:T12)</f>
        <v>5124.630000000001</v>
      </c>
    </row>
    <row r="13" spans="1:21" s="43" customFormat="1" x14ac:dyDescent="0.5">
      <c r="B13" s="85" t="s">
        <v>34</v>
      </c>
      <c r="C13" s="75"/>
      <c r="D13" s="175"/>
      <c r="E13" s="175"/>
      <c r="F13" s="175"/>
      <c r="G13" s="151">
        <f ca="1">SUM(G9:G12)</f>
        <v>3280.17</v>
      </c>
      <c r="H13" s="152">
        <f t="shared" ref="H13:U13" ca="1" si="1">SUM(H9:H12)</f>
        <v>1112.82</v>
      </c>
      <c r="I13" s="152">
        <f ca="1">SUM(I9:I12)</f>
        <v>2360.92</v>
      </c>
      <c r="J13" s="152">
        <f ca="1">SUM(J9:J12)</f>
        <v>207.08999999999997</v>
      </c>
      <c r="K13" s="137">
        <f t="shared" ca="1" si="1"/>
        <v>4392.99</v>
      </c>
      <c r="L13" s="151">
        <f t="shared" ca="1" si="1"/>
        <v>1625.28</v>
      </c>
      <c r="M13" s="152">
        <f t="shared" ca="1" si="1"/>
        <v>1625.28</v>
      </c>
      <c r="N13" s="152">
        <f t="shared" ca="1" si="1"/>
        <v>1625.28</v>
      </c>
      <c r="O13" s="152">
        <f ca="1">SUM(O9:O12)</f>
        <v>12346.800000000001</v>
      </c>
      <c r="P13" s="152">
        <f t="shared" ca="1" si="1"/>
        <v>0</v>
      </c>
      <c r="Q13" s="137">
        <f t="shared" ca="1" si="1"/>
        <v>17222.64</v>
      </c>
      <c r="R13" s="152">
        <f t="shared" ca="1" si="1"/>
        <v>207.08999999999997</v>
      </c>
      <c r="S13" s="152">
        <f t="shared" ca="1" si="1"/>
        <v>74.27</v>
      </c>
      <c r="T13" s="152">
        <f t="shared" ca="1" si="1"/>
        <v>0</v>
      </c>
      <c r="U13" s="138">
        <f t="shared" ca="1" si="1"/>
        <v>21896.99</v>
      </c>
    </row>
    <row r="14" spans="1:21" s="1" customFormat="1" ht="7.1" customHeight="1" x14ac:dyDescent="0.5">
      <c r="B14" s="85"/>
      <c r="C14" s="64"/>
      <c r="D14" s="64"/>
      <c r="E14" s="64"/>
      <c r="F14" s="64"/>
      <c r="G14" s="136"/>
      <c r="H14" s="74"/>
      <c r="I14" s="74"/>
      <c r="J14" s="74"/>
      <c r="K14" s="137"/>
      <c r="L14" s="136"/>
      <c r="M14" s="74"/>
      <c r="N14" s="74"/>
      <c r="O14" s="74"/>
      <c r="P14" s="74"/>
      <c r="Q14" s="137"/>
      <c r="R14" s="74"/>
      <c r="S14" s="74"/>
      <c r="T14" s="74"/>
      <c r="U14" s="138"/>
    </row>
    <row r="15" spans="1:21" s="1" customFormat="1" x14ac:dyDescent="0.5">
      <c r="B15" s="86" t="s">
        <v>22</v>
      </c>
      <c r="C15" s="166"/>
      <c r="D15" s="166"/>
      <c r="E15" s="166"/>
      <c r="F15" s="166"/>
      <c r="G15" s="139"/>
      <c r="H15" s="140"/>
      <c r="I15" s="140"/>
      <c r="J15" s="140"/>
      <c r="K15" s="141"/>
      <c r="L15" s="139"/>
      <c r="M15" s="140"/>
      <c r="N15" s="140"/>
      <c r="O15" s="140"/>
      <c r="P15" s="140"/>
      <c r="Q15" s="141"/>
      <c r="R15" s="140"/>
      <c r="S15" s="140"/>
      <c r="T15" s="140"/>
      <c r="U15" s="142"/>
    </row>
    <row r="16" spans="1:21" s="1" customFormat="1" x14ac:dyDescent="0.5">
      <c r="B16" s="14" t="s">
        <v>53</v>
      </c>
      <c r="C16" s="64"/>
      <c r="D16" s="64"/>
      <c r="E16" s="64"/>
      <c r="F16" s="64"/>
      <c r="G16" s="136"/>
      <c r="H16" s="74"/>
      <c r="I16" s="74"/>
      <c r="J16" s="74"/>
      <c r="K16" s="137"/>
      <c r="L16" s="136"/>
      <c r="M16" s="74"/>
      <c r="N16" s="74"/>
      <c r="O16" s="74"/>
      <c r="P16" s="74"/>
      <c r="Q16" s="137"/>
      <c r="R16" s="74"/>
      <c r="S16" s="74"/>
      <c r="T16" s="74"/>
      <c r="U16" s="138"/>
    </row>
    <row r="17" spans="2:21" s="1" customFormat="1" x14ac:dyDescent="0.5">
      <c r="B17" s="14"/>
      <c r="C17" s="73" t="s">
        <v>47</v>
      </c>
      <c r="D17" s="64"/>
      <c r="E17" s="64"/>
      <c r="F17" s="64"/>
      <c r="G17" s="136">
        <f ca="1">+'National Results'!$G22*'Material %'!G23</f>
        <v>0</v>
      </c>
      <c r="H17" s="74">
        <f ca="1">+'National Results'!$G22*'Material %'!H23</f>
        <v>0</v>
      </c>
      <c r="I17" s="74">
        <f ca="1">+'National Results'!$G22*'Material %'!I23</f>
        <v>0</v>
      </c>
      <c r="J17" s="74">
        <f ca="1">+'National Results'!$G22*'Material %'!J23</f>
        <v>0</v>
      </c>
      <c r="K17" s="137">
        <f ca="1">+G17+H17</f>
        <v>0</v>
      </c>
      <c r="L17" s="136">
        <f ca="1">+'National Results'!$G22*'Material %'!L23</f>
        <v>0</v>
      </c>
      <c r="M17" s="74">
        <f ca="1">+'National Results'!$G22*'Material %'!M23</f>
        <v>0</v>
      </c>
      <c r="N17" s="74">
        <f ca="1">+'National Results'!$G22*'Material %'!N23</f>
        <v>10588.050000000001</v>
      </c>
      <c r="O17" s="74">
        <f ca="1">+'National Results'!$G22*'Material %'!O23</f>
        <v>0</v>
      </c>
      <c r="P17" s="74">
        <f ca="1">+'National Results'!$G22*'Material %'!P23</f>
        <v>0</v>
      </c>
      <c r="Q17" s="137">
        <f ca="1">SUM(L17:P17)</f>
        <v>10588.050000000001</v>
      </c>
      <c r="R17" s="74">
        <f ca="1">+'National Results'!$G22*'Material %'!R23</f>
        <v>796.95</v>
      </c>
      <c r="S17" s="74">
        <f ca="1">+'National Results'!$G22*'Material %'!S23</f>
        <v>0</v>
      </c>
      <c r="T17" s="74">
        <f ca="1">+'National Results'!$G22*'Material %'!T23</f>
        <v>0</v>
      </c>
      <c r="U17" s="138">
        <f ca="1">+SUM(K17,Q17:T17)</f>
        <v>11385.000000000002</v>
      </c>
    </row>
    <row r="18" spans="2:21" s="1" customFormat="1" x14ac:dyDescent="0.5">
      <c r="B18" s="85"/>
      <c r="C18" s="73" t="s">
        <v>48</v>
      </c>
      <c r="D18" s="64"/>
      <c r="E18" s="73"/>
      <c r="F18" s="73"/>
      <c r="G18" s="136">
        <f ca="1">+'National Results'!$G23*'Material %'!G24</f>
        <v>0</v>
      </c>
      <c r="H18" s="74">
        <f ca="1">+'National Results'!$G23*'Material %'!H24</f>
        <v>0</v>
      </c>
      <c r="I18" s="74">
        <f ca="1">+'National Results'!$G23*'Material %'!I24</f>
        <v>0</v>
      </c>
      <c r="J18" s="74">
        <f ca="1">+'National Results'!$G23*'Material %'!J24</f>
        <v>0</v>
      </c>
      <c r="K18" s="137">
        <f ca="1">+G18+H18</f>
        <v>0</v>
      </c>
      <c r="L18" s="136">
        <f ca="1">+'National Results'!$G23*'Material %'!L24</f>
        <v>40080.6</v>
      </c>
      <c r="M18" s="74">
        <f ca="1">+'National Results'!$G23*'Material %'!M24</f>
        <v>0</v>
      </c>
      <c r="N18" s="74">
        <f ca="1">+'National Results'!$G23*'Material %'!N24</f>
        <v>1336.02</v>
      </c>
      <c r="O18" s="74">
        <f ca="1">+'National Results'!$G23*'Material %'!O24</f>
        <v>0</v>
      </c>
      <c r="P18" s="74">
        <f ca="1">+'National Results'!$G23*'Material %'!P24</f>
        <v>0</v>
      </c>
      <c r="Q18" s="137">
        <f t="shared" ref="Q18:Q19" ca="1" si="2">SUM(L18:P18)</f>
        <v>41416.619999999995</v>
      </c>
      <c r="R18" s="74">
        <f ca="1">+'National Results'!$G23*'Material %'!R24</f>
        <v>3117.38</v>
      </c>
      <c r="S18" s="74">
        <f ca="1">+'National Results'!$G23*'Material %'!S24</f>
        <v>0</v>
      </c>
      <c r="T18" s="74">
        <f ca="1">+'National Results'!$G23*'Material %'!T24</f>
        <v>0</v>
      </c>
      <c r="U18" s="138">
        <f ca="1">+SUM(K18,Q18:T18)</f>
        <v>44533.999999999993</v>
      </c>
    </row>
    <row r="19" spans="2:21" s="1" customFormat="1" x14ac:dyDescent="0.5">
      <c r="B19" s="14" t="s">
        <v>46</v>
      </c>
      <c r="C19" s="73"/>
      <c r="D19" s="64"/>
      <c r="E19" s="73"/>
      <c r="F19" s="73"/>
      <c r="G19" s="136">
        <f ca="1">+'National Results'!$G24*'Material %'!G25</f>
        <v>0</v>
      </c>
      <c r="H19" s="74">
        <f ca="1">+'National Results'!$G24*'Material %'!H25</f>
        <v>0</v>
      </c>
      <c r="I19" s="74">
        <f ca="1">+'National Results'!$G24*'Material %'!I25</f>
        <v>0</v>
      </c>
      <c r="J19" s="74">
        <f ca="1">+'National Results'!$G24*'Material %'!J25</f>
        <v>0</v>
      </c>
      <c r="K19" s="137">
        <f ca="1">+G19+H19</f>
        <v>0</v>
      </c>
      <c r="L19" s="136">
        <f ca="1">+'National Results'!$G24*'Material %'!L25</f>
        <v>19369.11</v>
      </c>
      <c r="M19" s="74">
        <f ca="1">+'National Results'!$G24*'Material %'!M25</f>
        <v>0</v>
      </c>
      <c r="N19" s="74">
        <f ca="1">+'National Results'!$G24*'Material %'!N25</f>
        <v>0</v>
      </c>
      <c r="O19" s="74">
        <f ca="1">+'National Results'!$G24*'Material %'!O25</f>
        <v>0</v>
      </c>
      <c r="P19" s="74">
        <f ca="1">+'National Results'!$G24*'Material %'!P25</f>
        <v>0</v>
      </c>
      <c r="Q19" s="137">
        <f t="shared" ca="1" si="2"/>
        <v>19369.11</v>
      </c>
      <c r="R19" s="74">
        <f ca="1">+'National Results'!$G24*'Material %'!R25</f>
        <v>1457.89</v>
      </c>
      <c r="S19" s="74">
        <f ca="1">+'National Results'!$G24*'Material %'!S25</f>
        <v>0</v>
      </c>
      <c r="T19" s="74">
        <f ca="1">+'National Results'!$G24*'Material %'!T25</f>
        <v>0</v>
      </c>
      <c r="U19" s="138">
        <f ca="1">+SUM(K19,Q19:T19)</f>
        <v>20827</v>
      </c>
    </row>
    <row r="20" spans="2:21" s="1" customFormat="1" x14ac:dyDescent="0.5">
      <c r="B20" s="174" t="s">
        <v>8</v>
      </c>
      <c r="C20" s="48"/>
      <c r="D20" s="48"/>
      <c r="E20" s="47"/>
      <c r="F20" s="47"/>
      <c r="G20" s="143">
        <f ca="1">+'National Results'!$G25*'Material %'!G26</f>
        <v>0</v>
      </c>
      <c r="H20" s="49">
        <f ca="1">+'National Results'!$G25*'Material %'!H26</f>
        <v>0</v>
      </c>
      <c r="I20" s="49">
        <f ca="1">+'National Results'!$G25*'Material %'!I26</f>
        <v>57.46</v>
      </c>
      <c r="J20" s="49">
        <f ca="1">+'National Results'!$G25*'Material %'!J26</f>
        <v>0</v>
      </c>
      <c r="K20" s="144">
        <f ca="1">+G20+H20</f>
        <v>0</v>
      </c>
      <c r="L20" s="143">
        <f ca="1">+'National Results'!$G25*'Material %'!L26</f>
        <v>1465.23</v>
      </c>
      <c r="M20" s="49">
        <f ca="1">+'National Results'!$G25*'Material %'!M26</f>
        <v>4022.2</v>
      </c>
      <c r="N20" s="49">
        <f ca="1">+'National Results'!$G25*'Material %'!N26</f>
        <v>143.65</v>
      </c>
      <c r="O20" s="49">
        <f ca="1">+'National Results'!$G25*'Material %'!O26</f>
        <v>0</v>
      </c>
      <c r="P20" s="49">
        <f ca="1">+'National Results'!$G25*'Material %'!P26</f>
        <v>0</v>
      </c>
      <c r="Q20" s="144">
        <f ca="1">SUM(L20:P20)</f>
        <v>5631.08</v>
      </c>
      <c r="R20" s="49">
        <f ca="1">+'National Results'!$G25*'Material %'!R26</f>
        <v>57.46</v>
      </c>
      <c r="S20" s="49">
        <f ca="1">+'National Results'!$G25*'Material %'!S26</f>
        <v>0</v>
      </c>
      <c r="T20" s="49">
        <f ca="1">+'National Results'!$G25*'Material %'!T26</f>
        <v>0</v>
      </c>
      <c r="U20" s="145">
        <f ca="1">+SUM(K20,Q20:T20)</f>
        <v>5688.54</v>
      </c>
    </row>
    <row r="21" spans="2:21" s="43" customFormat="1" x14ac:dyDescent="0.5">
      <c r="B21" s="85" t="s">
        <v>35</v>
      </c>
      <c r="C21" s="75"/>
      <c r="D21" s="175"/>
      <c r="E21" s="175"/>
      <c r="F21" s="175"/>
      <c r="G21" s="151">
        <f ca="1">SUM(G17:G20)</f>
        <v>0</v>
      </c>
      <c r="H21" s="152">
        <f t="shared" ref="H21" ca="1" si="3">SUM(H17:H20)</f>
        <v>0</v>
      </c>
      <c r="I21" s="152">
        <f t="shared" ref="I21" ca="1" si="4">SUM(I17:I20)</f>
        <v>57.46</v>
      </c>
      <c r="J21" s="152">
        <f t="shared" ref="J21" ca="1" si="5">SUM(J17:J20)</f>
        <v>0</v>
      </c>
      <c r="K21" s="137">
        <f t="shared" ref="K21" ca="1" si="6">SUM(K17:K20)</f>
        <v>0</v>
      </c>
      <c r="L21" s="151">
        <f t="shared" ref="L21" ca="1" si="7">SUM(L17:L20)</f>
        <v>60914.94</v>
      </c>
      <c r="M21" s="152">
        <f t="shared" ref="M21" ca="1" si="8">SUM(M17:M20)</f>
        <v>4022.2</v>
      </c>
      <c r="N21" s="152">
        <f t="shared" ref="N21:P21" ca="1" si="9">SUM(N17:N20)</f>
        <v>12067.720000000001</v>
      </c>
      <c r="O21" s="152">
        <f t="shared" ref="O21" ca="1" si="10">SUM(O17:O20)</f>
        <v>0</v>
      </c>
      <c r="P21" s="152">
        <f t="shared" ca="1" si="9"/>
        <v>0</v>
      </c>
      <c r="Q21" s="137">
        <f t="shared" ref="Q21" ca="1" si="11">SUM(Q17:Q20)</f>
        <v>77004.86</v>
      </c>
      <c r="R21" s="152">
        <f t="shared" ref="R21" ca="1" si="12">SUM(R17:R20)</f>
        <v>5429.68</v>
      </c>
      <c r="S21" s="152">
        <f t="shared" ref="S21" ca="1" si="13">SUM(S17:S20)</f>
        <v>0</v>
      </c>
      <c r="T21" s="152">
        <f t="shared" ref="T21" ca="1" si="14">SUM(T17:T20)</f>
        <v>0</v>
      </c>
      <c r="U21" s="138">
        <f t="shared" ref="U21" ca="1" si="15">SUM(U17:U20)</f>
        <v>82434.539999999994</v>
      </c>
    </row>
    <row r="22" spans="2:21" s="1" customFormat="1" ht="7.1" customHeight="1" x14ac:dyDescent="0.5">
      <c r="B22" s="85"/>
      <c r="C22" s="64"/>
      <c r="D22" s="64"/>
      <c r="E22" s="73"/>
      <c r="F22" s="73"/>
      <c r="G22" s="136"/>
      <c r="H22" s="74"/>
      <c r="I22" s="74"/>
      <c r="J22" s="74"/>
      <c r="K22" s="137"/>
      <c r="L22" s="136"/>
      <c r="M22" s="74"/>
      <c r="N22" s="74"/>
      <c r="O22" s="74"/>
      <c r="P22" s="74"/>
      <c r="Q22" s="137"/>
      <c r="R22" s="74"/>
      <c r="S22" s="74"/>
      <c r="T22" s="74"/>
      <c r="U22" s="138"/>
    </row>
    <row r="23" spans="2:21" s="1" customFormat="1" x14ac:dyDescent="0.5">
      <c r="B23" s="84" t="s">
        <v>23</v>
      </c>
      <c r="C23" s="166"/>
      <c r="D23" s="166"/>
      <c r="E23" s="166"/>
      <c r="F23" s="166"/>
      <c r="G23" s="139"/>
      <c r="H23" s="140"/>
      <c r="I23" s="140"/>
      <c r="J23" s="140"/>
      <c r="K23" s="141"/>
      <c r="L23" s="139"/>
      <c r="M23" s="140"/>
      <c r="N23" s="140"/>
      <c r="O23" s="140"/>
      <c r="P23" s="140"/>
      <c r="Q23" s="141"/>
      <c r="R23" s="140"/>
      <c r="S23" s="140"/>
      <c r="T23" s="140"/>
      <c r="U23" s="142"/>
    </row>
    <row r="24" spans="2:21" s="1" customFormat="1" x14ac:dyDescent="0.5">
      <c r="B24" s="14" t="s">
        <v>45</v>
      </c>
      <c r="C24" s="64"/>
      <c r="D24" s="64"/>
      <c r="E24" s="73"/>
      <c r="F24" s="73"/>
      <c r="G24" s="136">
        <f ca="1">+'National Results'!$G29*'Material %'!G29</f>
        <v>0</v>
      </c>
      <c r="H24" s="74">
        <f ca="1">+'National Results'!$G29*'Material %'!H29</f>
        <v>12014.5</v>
      </c>
      <c r="I24" s="74">
        <f ca="1">+'National Results'!$G29*'Material %'!I29</f>
        <v>0</v>
      </c>
      <c r="J24" s="74">
        <f ca="1">+'National Results'!$G29*'Material %'!J29</f>
        <v>0</v>
      </c>
      <c r="K24" s="137">
        <f ca="1">+G24+H24</f>
        <v>12014.5</v>
      </c>
      <c r="L24" s="136">
        <f ca="1">+'National Results'!$G29*'Material %'!L29</f>
        <v>0</v>
      </c>
      <c r="M24" s="74">
        <f ca="1">+'National Results'!$G29*'Material %'!M29</f>
        <v>0</v>
      </c>
      <c r="N24" s="74">
        <f ca="1">+'National Results'!$G29*'Material %'!N29</f>
        <v>0</v>
      </c>
      <c r="O24" s="74">
        <f ca="1">+'National Results'!$G29*'Material %'!O29</f>
        <v>0</v>
      </c>
      <c r="P24" s="74">
        <f ca="1">+'National Results'!$G29*'Material %'!P29</f>
        <v>12014.5</v>
      </c>
      <c r="Q24" s="137">
        <f t="shared" ref="Q24" ca="1" si="16">SUM(L24:P24)</f>
        <v>12014.5</v>
      </c>
      <c r="R24" s="74">
        <f ca="1">+'National Results'!$G29*'Material %'!R29</f>
        <v>0</v>
      </c>
      <c r="S24" s="74">
        <f ca="1">+'National Results'!$G29*'Material %'!S29</f>
        <v>0</v>
      </c>
      <c r="T24" s="74">
        <f ca="1">+'National Results'!$G29*'Material %'!T29</f>
        <v>0</v>
      </c>
      <c r="U24" s="138">
        <f ca="1">+SUM(K24,Q24:T24)</f>
        <v>24029</v>
      </c>
    </row>
    <row r="25" spans="2:21" s="1" customFormat="1" x14ac:dyDescent="0.5">
      <c r="B25" s="174" t="s">
        <v>9</v>
      </c>
      <c r="C25" s="48"/>
      <c r="D25" s="48"/>
      <c r="E25" s="47"/>
      <c r="F25" s="47"/>
      <c r="G25" s="143">
        <f ca="1">+'National Results'!$G30*'Material %'!G30</f>
        <v>1265</v>
      </c>
      <c r="H25" s="49">
        <f ca="1">+'National Results'!$G30*'Material %'!H30</f>
        <v>0</v>
      </c>
      <c r="I25" s="49">
        <f ca="1">+'National Results'!$G30*'Material %'!I30</f>
        <v>0</v>
      </c>
      <c r="J25" s="49">
        <f ca="1">+'National Results'!$G30*'Material %'!J30</f>
        <v>0</v>
      </c>
      <c r="K25" s="144">
        <f ca="1">+G25+H25</f>
        <v>1265</v>
      </c>
      <c r="L25" s="143">
        <f ca="1">+'National Results'!$G30*'Material %'!L30</f>
        <v>0</v>
      </c>
      <c r="M25" s="49">
        <f ca="1">+'National Results'!$G30*'Material %'!M30</f>
        <v>0</v>
      </c>
      <c r="N25" s="49">
        <f ca="1">+'National Results'!$G30*'Material %'!N30</f>
        <v>0</v>
      </c>
      <c r="O25" s="49">
        <f ca="1">+'National Results'!$G30*'Material %'!O30</f>
        <v>0</v>
      </c>
      <c r="P25" s="49">
        <f ca="1">+'National Results'!$G30*'Material %'!P30</f>
        <v>0</v>
      </c>
      <c r="Q25" s="144">
        <f ca="1">SUM(L25:P25)</f>
        <v>0</v>
      </c>
      <c r="R25" s="49">
        <f ca="1">+'National Results'!$G30*'Material %'!R30</f>
        <v>0</v>
      </c>
      <c r="S25" s="49">
        <f ca="1">+'National Results'!$G30*'Material %'!S30</f>
        <v>0</v>
      </c>
      <c r="T25" s="49">
        <f ca="1">+'National Results'!$G30*'Material %'!T30</f>
        <v>0</v>
      </c>
      <c r="U25" s="145">
        <f ca="1">+SUM(K25,Q25:T25)</f>
        <v>1265</v>
      </c>
    </row>
    <row r="26" spans="2:21" s="43" customFormat="1" x14ac:dyDescent="0.5">
      <c r="B26" s="85" t="s">
        <v>36</v>
      </c>
      <c r="C26" s="175"/>
      <c r="D26" s="175"/>
      <c r="E26" s="75"/>
      <c r="F26" s="75"/>
      <c r="G26" s="151">
        <f ca="1">SUM(G24:G25)</f>
        <v>1265</v>
      </c>
      <c r="H26" s="152">
        <f t="shared" ref="H26:U26" ca="1" si="17">SUM(H24:H25)</f>
        <v>12014.5</v>
      </c>
      <c r="I26" s="152">
        <f ca="1">SUM(I24:I25)</f>
        <v>0</v>
      </c>
      <c r="J26" s="152">
        <f ca="1">SUM(J24:J25)</f>
        <v>0</v>
      </c>
      <c r="K26" s="137">
        <f t="shared" ca="1" si="17"/>
        <v>13279.5</v>
      </c>
      <c r="L26" s="151">
        <f t="shared" ca="1" si="17"/>
        <v>0</v>
      </c>
      <c r="M26" s="152">
        <f t="shared" ca="1" si="17"/>
        <v>0</v>
      </c>
      <c r="N26" s="152">
        <f t="shared" ca="1" si="17"/>
        <v>0</v>
      </c>
      <c r="O26" s="152">
        <f ca="1">SUM(O24:O25)</f>
        <v>0</v>
      </c>
      <c r="P26" s="152">
        <f t="shared" ca="1" si="17"/>
        <v>12014.5</v>
      </c>
      <c r="Q26" s="137">
        <f t="shared" ca="1" si="17"/>
        <v>12014.5</v>
      </c>
      <c r="R26" s="152">
        <f t="shared" ca="1" si="17"/>
        <v>0</v>
      </c>
      <c r="S26" s="152">
        <f t="shared" ca="1" si="17"/>
        <v>0</v>
      </c>
      <c r="T26" s="152">
        <f t="shared" ca="1" si="17"/>
        <v>0</v>
      </c>
      <c r="U26" s="138">
        <f t="shared" ca="1" si="17"/>
        <v>25294</v>
      </c>
    </row>
    <row r="27" spans="2:21" s="1" customFormat="1" ht="7.1" customHeight="1" x14ac:dyDescent="0.5">
      <c r="B27" s="85"/>
      <c r="C27" s="64"/>
      <c r="D27" s="64"/>
      <c r="E27" s="64"/>
      <c r="F27" s="64"/>
      <c r="G27" s="136"/>
      <c r="H27" s="74"/>
      <c r="I27" s="74"/>
      <c r="J27" s="74"/>
      <c r="K27" s="137"/>
      <c r="L27" s="136"/>
      <c r="M27" s="74"/>
      <c r="N27" s="74"/>
      <c r="O27" s="74"/>
      <c r="P27" s="74"/>
      <c r="Q27" s="137"/>
      <c r="R27" s="74"/>
      <c r="S27" s="74"/>
      <c r="T27" s="74"/>
      <c r="U27" s="138"/>
    </row>
    <row r="28" spans="2:21" s="1" customFormat="1" x14ac:dyDescent="0.5">
      <c r="B28" s="84" t="s">
        <v>10</v>
      </c>
      <c r="C28" s="166"/>
      <c r="D28" s="166"/>
      <c r="E28" s="166"/>
      <c r="F28" s="166"/>
      <c r="G28" s="139"/>
      <c r="H28" s="140"/>
      <c r="I28" s="140"/>
      <c r="J28" s="140"/>
      <c r="K28" s="141"/>
      <c r="L28" s="139"/>
      <c r="M28" s="140"/>
      <c r="N28" s="140"/>
      <c r="O28" s="140"/>
      <c r="P28" s="140"/>
      <c r="Q28" s="141"/>
      <c r="R28" s="140"/>
      <c r="S28" s="140"/>
      <c r="T28" s="140"/>
      <c r="U28" s="142"/>
    </row>
    <row r="29" spans="2:21" s="1" customFormat="1" x14ac:dyDescent="0.5">
      <c r="B29" s="14" t="s">
        <v>49</v>
      </c>
      <c r="C29" s="64"/>
      <c r="D29" s="64"/>
      <c r="E29" s="64"/>
      <c r="F29" s="64"/>
      <c r="G29" s="136">
        <f ca="1">+'National Results'!$G34*'Material %'!G33</f>
        <v>13896.480000000001</v>
      </c>
      <c r="H29" s="74">
        <f ca="1">+'National Results'!$G34*'Material %'!H33</f>
        <v>0</v>
      </c>
      <c r="I29" s="74">
        <f ca="1">+'National Results'!$G34*'Material %'!I33</f>
        <v>0</v>
      </c>
      <c r="J29" s="74">
        <f ca="1">+'National Results'!$G34*'Material %'!J33</f>
        <v>0</v>
      </c>
      <c r="K29" s="137">
        <f ca="1">+G29+H29</f>
        <v>13896.480000000001</v>
      </c>
      <c r="L29" s="136">
        <f ca="1">+'National Results'!$G34*'Material %'!L33</f>
        <v>0</v>
      </c>
      <c r="M29" s="74">
        <f ca="1">+'National Results'!$G34*'Material %'!M33</f>
        <v>0</v>
      </c>
      <c r="N29" s="74">
        <f ca="1">+'National Results'!$G34*'Material %'!N33</f>
        <v>0</v>
      </c>
      <c r="O29" s="74">
        <f ca="1">+'National Results'!$G34*'Material %'!O33</f>
        <v>3919.52</v>
      </c>
      <c r="P29" s="74">
        <f ca="1">+'National Results'!$G34*'Material %'!P33</f>
        <v>0</v>
      </c>
      <c r="Q29" s="137">
        <f t="shared" ref="Q29" ca="1" si="18">SUM(L29:P29)</f>
        <v>3919.52</v>
      </c>
      <c r="R29" s="74">
        <f ca="1">+'National Results'!$G34*'Material %'!R33</f>
        <v>0</v>
      </c>
      <c r="S29" s="74">
        <f ca="1">+'National Results'!$G34*'Material %'!S33</f>
        <v>0</v>
      </c>
      <c r="T29" s="74">
        <f ca="1">+'National Results'!$G34*'Material %'!T33</f>
        <v>0</v>
      </c>
      <c r="U29" s="138">
        <f ca="1">+SUM(K29,Q29:T29)</f>
        <v>17816</v>
      </c>
    </row>
    <row r="30" spans="2:21" s="1" customFormat="1" x14ac:dyDescent="0.5">
      <c r="B30" s="174" t="s">
        <v>50</v>
      </c>
      <c r="C30" s="48"/>
      <c r="D30" s="48"/>
      <c r="E30" s="48"/>
      <c r="F30" s="48"/>
      <c r="G30" s="143">
        <f ca="1">+'National Results'!$G35*'Material %'!G34</f>
        <v>24518.52</v>
      </c>
      <c r="H30" s="49">
        <f ca="1">+'National Results'!$G35*'Material %'!H34</f>
        <v>0</v>
      </c>
      <c r="I30" s="49">
        <f ca="1">+'National Results'!$G35*'Material %'!I34</f>
        <v>0</v>
      </c>
      <c r="J30" s="49">
        <f ca="1">+'National Results'!$G35*'Material %'!J34</f>
        <v>0</v>
      </c>
      <c r="K30" s="144">
        <f ca="1">+G30+H30</f>
        <v>24518.52</v>
      </c>
      <c r="L30" s="143">
        <f ca="1">+'National Results'!$G35*'Material %'!L34</f>
        <v>11001.9</v>
      </c>
      <c r="M30" s="49">
        <f ca="1">+'National Results'!$G35*'Material %'!M34</f>
        <v>11001.9</v>
      </c>
      <c r="N30" s="49">
        <f ca="1">+'National Results'!$G35*'Material %'!N34</f>
        <v>628.68000000000006</v>
      </c>
      <c r="O30" s="49">
        <f ca="1">+'National Results'!$G35*'Material %'!O34</f>
        <v>13830.960000000001</v>
      </c>
      <c r="P30" s="49">
        <f ca="1">+'National Results'!$G35*'Material %'!P34</f>
        <v>0</v>
      </c>
      <c r="Q30" s="144">
        <f ca="1">SUM(L30:P30)</f>
        <v>36463.440000000002</v>
      </c>
      <c r="R30" s="49">
        <f ca="1">+'National Results'!$G35*'Material %'!R34</f>
        <v>1886.04</v>
      </c>
      <c r="S30" s="49">
        <f ca="1">+'National Results'!$G35*'Material %'!S34</f>
        <v>0</v>
      </c>
      <c r="T30" s="49">
        <f ca="1">+'National Results'!$G35*'Material %'!T34</f>
        <v>0</v>
      </c>
      <c r="U30" s="145">
        <f ca="1">+SUM(K30,Q30:T30)</f>
        <v>62868.000000000007</v>
      </c>
    </row>
    <row r="31" spans="2:21" s="43" customFormat="1" x14ac:dyDescent="0.5">
      <c r="B31" s="176" t="s">
        <v>57</v>
      </c>
      <c r="C31" s="175"/>
      <c r="D31" s="175"/>
      <c r="E31" s="175"/>
      <c r="F31" s="175"/>
      <c r="G31" s="151">
        <f ca="1">SUM(G29:G30)</f>
        <v>38415</v>
      </c>
      <c r="H31" s="152">
        <f t="shared" ref="H31:T31" ca="1" si="19">SUM(H29:H30)</f>
        <v>0</v>
      </c>
      <c r="I31" s="152">
        <f ca="1">SUM(I29:I30)</f>
        <v>0</v>
      </c>
      <c r="J31" s="152">
        <f ca="1">SUM(J29:J30)</f>
        <v>0</v>
      </c>
      <c r="K31" s="137">
        <f t="shared" ca="1" si="19"/>
        <v>38415</v>
      </c>
      <c r="L31" s="151">
        <f t="shared" ca="1" si="19"/>
        <v>11001.9</v>
      </c>
      <c r="M31" s="152">
        <f t="shared" ca="1" si="19"/>
        <v>11001.9</v>
      </c>
      <c r="N31" s="152">
        <f t="shared" ca="1" si="19"/>
        <v>628.68000000000006</v>
      </c>
      <c r="O31" s="152">
        <f ca="1">SUM(O29:O30)</f>
        <v>17750.48</v>
      </c>
      <c r="P31" s="152">
        <f t="shared" ca="1" si="19"/>
        <v>0</v>
      </c>
      <c r="Q31" s="137">
        <f t="shared" ca="1" si="19"/>
        <v>40382.959999999999</v>
      </c>
      <c r="R31" s="152">
        <f t="shared" ca="1" si="19"/>
        <v>1886.04</v>
      </c>
      <c r="S31" s="152">
        <f t="shared" ca="1" si="19"/>
        <v>0</v>
      </c>
      <c r="T31" s="152">
        <f t="shared" ca="1" si="19"/>
        <v>0</v>
      </c>
      <c r="U31" s="138">
        <f ca="1">+SUM(K31,Q31:T31)</f>
        <v>80683.999999999985</v>
      </c>
    </row>
    <row r="32" spans="2:21" s="1" customFormat="1" ht="7.1" customHeight="1" x14ac:dyDescent="0.5">
      <c r="B32" s="85"/>
      <c r="C32" s="64"/>
      <c r="D32" s="64"/>
      <c r="E32" s="64"/>
      <c r="F32" s="64"/>
      <c r="G32" s="136"/>
      <c r="H32" s="74"/>
      <c r="I32" s="74"/>
      <c r="J32" s="74"/>
      <c r="K32" s="137"/>
      <c r="L32" s="136"/>
      <c r="M32" s="74"/>
      <c r="N32" s="74"/>
      <c r="O32" s="74"/>
      <c r="P32" s="74"/>
      <c r="Q32" s="137"/>
      <c r="R32" s="74"/>
      <c r="S32" s="74"/>
      <c r="T32" s="74"/>
      <c r="U32" s="138"/>
    </row>
    <row r="33" spans="2:21" s="1" customFormat="1" x14ac:dyDescent="0.5">
      <c r="B33" s="84" t="s">
        <v>24</v>
      </c>
      <c r="C33" s="166"/>
      <c r="D33" s="166"/>
      <c r="E33" s="166"/>
      <c r="F33" s="166"/>
      <c r="G33" s="139"/>
      <c r="H33" s="140"/>
      <c r="I33" s="140"/>
      <c r="J33" s="140"/>
      <c r="K33" s="141"/>
      <c r="L33" s="139"/>
      <c r="M33" s="140"/>
      <c r="N33" s="140"/>
      <c r="O33" s="140"/>
      <c r="P33" s="140"/>
      <c r="Q33" s="141"/>
      <c r="R33" s="140"/>
      <c r="S33" s="140"/>
      <c r="T33" s="140"/>
      <c r="U33" s="142"/>
    </row>
    <row r="34" spans="2:21" s="1" customFormat="1" x14ac:dyDescent="0.5">
      <c r="B34" s="14" t="s">
        <v>12</v>
      </c>
      <c r="C34" s="64"/>
      <c r="D34" s="64"/>
      <c r="E34" s="64"/>
      <c r="F34" s="64"/>
      <c r="G34" s="136"/>
      <c r="H34" s="74"/>
      <c r="I34" s="74"/>
      <c r="J34" s="74"/>
      <c r="K34" s="137"/>
      <c r="L34" s="136"/>
      <c r="M34" s="74"/>
      <c r="N34" s="74"/>
      <c r="O34" s="74"/>
      <c r="P34" s="74"/>
      <c r="Q34" s="137"/>
      <c r="R34" s="74"/>
      <c r="S34" s="74"/>
      <c r="T34" s="74"/>
      <c r="U34" s="138"/>
    </row>
    <row r="35" spans="2:21" s="1" customFormat="1" x14ac:dyDescent="0.5">
      <c r="B35" s="85"/>
      <c r="C35" s="73" t="s">
        <v>13</v>
      </c>
      <c r="D35" s="73"/>
      <c r="E35" s="73"/>
      <c r="F35" s="73"/>
      <c r="G35" s="136">
        <f ca="1">+'National Results'!$G40*'Material %'!G38</f>
        <v>2639.75</v>
      </c>
      <c r="H35" s="74">
        <f ca="1">+'National Results'!$G40*'Material %'!H38</f>
        <v>0</v>
      </c>
      <c r="I35" s="74">
        <f ca="1">+'National Results'!$G40*'Material %'!I38</f>
        <v>2639.75</v>
      </c>
      <c r="J35" s="74">
        <f ca="1">+'National Results'!$G40*'Material %'!J38</f>
        <v>2639.75</v>
      </c>
      <c r="K35" s="137">
        <f ca="1">+G35+H35</f>
        <v>2639.75</v>
      </c>
      <c r="L35" s="136">
        <f ca="1">+'National Results'!$G40*'Material %'!L38</f>
        <v>0</v>
      </c>
      <c r="M35" s="74">
        <f ca="1">+'National Results'!$G40*'Material %'!M38</f>
        <v>0</v>
      </c>
      <c r="N35" s="74">
        <f ca="1">+'National Results'!$G40*'Material %'!N38</f>
        <v>0</v>
      </c>
      <c r="O35" s="74">
        <f ca="1">+'National Results'!$G40*'Material %'!O38</f>
        <v>2639.75</v>
      </c>
      <c r="P35" s="74">
        <f ca="1">+'National Results'!$G40*'Material %'!P38</f>
        <v>0</v>
      </c>
      <c r="Q35" s="137">
        <f t="shared" ref="Q35" ca="1" si="20">SUM(L35:P35)</f>
        <v>2639.75</v>
      </c>
      <c r="R35" s="74">
        <f ca="1">+'National Results'!$G40*'Material %'!R38</f>
        <v>0</v>
      </c>
      <c r="S35" s="74">
        <f ca="1">+'National Results'!$G40*'Material %'!S38</f>
        <v>0</v>
      </c>
      <c r="T35" s="74">
        <f ca="1">+'National Results'!$G40*'Material %'!T38</f>
        <v>0</v>
      </c>
      <c r="U35" s="138">
        <f ca="1">+SUM(K35,Q35:T35)</f>
        <v>5279.5</v>
      </c>
    </row>
    <row r="36" spans="2:21" s="1" customFormat="1" x14ac:dyDescent="0.5">
      <c r="B36" s="13" t="s">
        <v>14</v>
      </c>
      <c r="C36" s="64"/>
      <c r="D36" s="64"/>
      <c r="E36" s="64"/>
      <c r="F36" s="64"/>
      <c r="G36" s="136"/>
      <c r="H36" s="74"/>
      <c r="I36" s="74"/>
      <c r="J36" s="74"/>
      <c r="K36" s="137"/>
      <c r="L36" s="136"/>
      <c r="M36" s="74"/>
      <c r="N36" s="74"/>
      <c r="O36" s="74"/>
      <c r="P36" s="74"/>
      <c r="Q36" s="137"/>
      <c r="R36" s="74"/>
      <c r="S36" s="74"/>
      <c r="T36" s="74"/>
      <c r="U36" s="138"/>
    </row>
    <row r="37" spans="2:21" s="1" customFormat="1" x14ac:dyDescent="0.5">
      <c r="B37" s="13"/>
      <c r="C37" s="73" t="s">
        <v>15</v>
      </c>
      <c r="D37" s="64"/>
      <c r="E37" s="64"/>
      <c r="F37" s="64"/>
      <c r="G37" s="136">
        <f ca="1">+'National Results'!$G42*'Material %'!G40</f>
        <v>0</v>
      </c>
      <c r="H37" s="74">
        <f ca="1">+'National Results'!$G42*'Material %'!H40</f>
        <v>0</v>
      </c>
      <c r="I37" s="74">
        <f ca="1">+'National Results'!$G42*'Material %'!I40</f>
        <v>0</v>
      </c>
      <c r="J37" s="74">
        <f ca="1">+'National Results'!$G42*'Material %'!J40</f>
        <v>0</v>
      </c>
      <c r="K37" s="137">
        <f ca="1">+G37+H37</f>
        <v>0</v>
      </c>
      <c r="L37" s="136">
        <f ca="1">+'National Results'!$G42*'Material %'!L40</f>
        <v>0</v>
      </c>
      <c r="M37" s="74">
        <f ca="1">+'National Results'!$G42*'Material %'!M40</f>
        <v>19240.770000000004</v>
      </c>
      <c r="N37" s="74">
        <f ca="1">+'National Results'!$G42*'Material %'!N40</f>
        <v>19240.770000000004</v>
      </c>
      <c r="O37" s="74">
        <f ca="1">+'National Results'!$G42*'Material %'!O40</f>
        <v>0</v>
      </c>
      <c r="P37" s="74">
        <f ca="1">+'National Results'!$G42*'Material %'!P40</f>
        <v>0</v>
      </c>
      <c r="Q37" s="137">
        <f t="shared" ref="Q37:Q39" ca="1" si="21">SUM(L37:P37)</f>
        <v>38481.540000000008</v>
      </c>
      <c r="R37" s="74">
        <f ca="1">+'National Results'!$G42*'Material %'!R40</f>
        <v>2896.4600000000009</v>
      </c>
      <c r="S37" s="74">
        <f ca="1">+'National Results'!$G42*'Material %'!S40</f>
        <v>0</v>
      </c>
      <c r="T37" s="74">
        <f ca="1">+'National Results'!$G42*'Material %'!T40</f>
        <v>0</v>
      </c>
      <c r="U37" s="138">
        <f ca="1">+SUM(K37,Q37:T37)</f>
        <v>41378.000000000007</v>
      </c>
    </row>
    <row r="38" spans="2:21" s="1" customFormat="1" x14ac:dyDescent="0.5">
      <c r="B38" s="13"/>
      <c r="C38" s="73" t="s">
        <v>16</v>
      </c>
      <c r="D38" s="64"/>
      <c r="E38" s="64"/>
      <c r="F38" s="64"/>
      <c r="G38" s="136">
        <f ca="1">+'National Results'!$G43*'Material %'!G41</f>
        <v>453.69669070541335</v>
      </c>
      <c r="H38" s="74">
        <f ca="1">+'National Results'!$G43*'Material %'!H41</f>
        <v>453.69669070541335</v>
      </c>
      <c r="I38" s="74">
        <f ca="1">+'National Results'!$G43*'Material %'!I41</f>
        <v>0</v>
      </c>
      <c r="J38" s="74">
        <f ca="1">+'National Results'!$G43*'Material %'!J41</f>
        <v>0</v>
      </c>
      <c r="K38" s="137">
        <f ca="1">+G38+H38</f>
        <v>907.39338141082669</v>
      </c>
      <c r="L38" s="136">
        <f ca="1">+'National Results'!$G43*'Material %'!L41</f>
        <v>0</v>
      </c>
      <c r="M38" s="74">
        <f ca="1">+'National Results'!$G43*'Material %'!M41</f>
        <v>8944.3061881924332</v>
      </c>
      <c r="N38" s="74">
        <f ca="1">+'National Results'!$G43*'Material %'!N41</f>
        <v>0</v>
      </c>
      <c r="O38" s="74">
        <f ca="1">+'National Results'!$G43*'Material %'!O41</f>
        <v>0</v>
      </c>
      <c r="P38" s="74">
        <f ca="1">+'National Results'!$G43*'Material %'!P41</f>
        <v>0</v>
      </c>
      <c r="Q38" s="137">
        <f t="shared" ca="1" si="21"/>
        <v>8944.3061881924332</v>
      </c>
      <c r="R38" s="74">
        <f ca="1">+'National Results'!$G43*'Material %'!R41</f>
        <v>3111.0630219799768</v>
      </c>
      <c r="S38" s="74">
        <f ca="1">+'National Results'!$G43*'Material %'!S41</f>
        <v>0</v>
      </c>
      <c r="T38" s="74">
        <f ca="1">+'National Results'!$G43*'Material %'!T41</f>
        <v>0</v>
      </c>
      <c r="U38" s="138">
        <f ca="1">+SUM(K38,Q38:T38)</f>
        <v>12962.762591583236</v>
      </c>
    </row>
    <row r="39" spans="2:21" s="1" customFormat="1" x14ac:dyDescent="0.5">
      <c r="B39" s="13"/>
      <c r="C39" s="73" t="s">
        <v>17</v>
      </c>
      <c r="D39" s="64"/>
      <c r="E39" s="64"/>
      <c r="F39" s="64"/>
      <c r="G39" s="136">
        <f ca="1">+'National Results'!$G44*'Material %'!G42</f>
        <v>0</v>
      </c>
      <c r="H39" s="74">
        <f ca="1">+'National Results'!$G44*'Material %'!H42</f>
        <v>0</v>
      </c>
      <c r="I39" s="74">
        <f ca="1">+'National Results'!$G44*'Material %'!I42</f>
        <v>0</v>
      </c>
      <c r="J39" s="74">
        <f ca="1">+'National Results'!$G44*'Material %'!J42</f>
        <v>0</v>
      </c>
      <c r="K39" s="137">
        <f ca="1">+G39+H39</f>
        <v>0</v>
      </c>
      <c r="L39" s="136">
        <f ca="1">+'National Results'!$G44*'Material %'!L42</f>
        <v>0</v>
      </c>
      <c r="M39" s="74">
        <f ca="1">+'National Results'!$G44*'Material %'!M42</f>
        <v>503.48493697802093</v>
      </c>
      <c r="N39" s="74">
        <f ca="1">+'National Results'!$G44*'Material %'!N42</f>
        <v>0</v>
      </c>
      <c r="O39" s="74">
        <f ca="1">+'National Results'!$G44*'Material %'!O42</f>
        <v>0</v>
      </c>
      <c r="P39" s="74">
        <f ca="1">+'National Results'!$G44*'Material %'!P42</f>
        <v>0</v>
      </c>
      <c r="Q39" s="137">
        <f t="shared" ca="1" si="21"/>
        <v>503.48493697802093</v>
      </c>
      <c r="R39" s="74">
        <f ca="1">+'National Results'!$G44*'Material %'!R42</f>
        <v>0</v>
      </c>
      <c r="S39" s="74">
        <f ca="1">+'National Results'!$G44*'Material %'!S42</f>
        <v>0</v>
      </c>
      <c r="T39" s="74">
        <f ca="1">+'National Results'!$G44*'Material %'!T42</f>
        <v>503.48493697802093</v>
      </c>
      <c r="U39" s="138">
        <f ca="1">+SUM(K39,Q39:T39)</f>
        <v>1006.9698739560419</v>
      </c>
    </row>
    <row r="40" spans="2:21" s="1" customFormat="1" x14ac:dyDescent="0.5">
      <c r="B40" s="177"/>
      <c r="C40" s="47" t="s">
        <v>18</v>
      </c>
      <c r="D40" s="48"/>
      <c r="E40" s="48"/>
      <c r="F40" s="48"/>
      <c r="G40" s="143">
        <f ca="1">+'National Results'!$G45*'Material %'!G43</f>
        <v>0</v>
      </c>
      <c r="H40" s="49">
        <f ca="1">+'National Results'!$G45*'Material %'!H43</f>
        <v>0</v>
      </c>
      <c r="I40" s="49">
        <f ca="1">+'National Results'!$G45*'Material %'!I43</f>
        <v>0</v>
      </c>
      <c r="J40" s="49">
        <f ca="1">+'National Results'!$G45*'Material %'!J43</f>
        <v>0</v>
      </c>
      <c r="K40" s="144">
        <f ca="1">+G40+H40</f>
        <v>0</v>
      </c>
      <c r="L40" s="143">
        <f ca="1">+'National Results'!$G45*'Material %'!L43</f>
        <v>0</v>
      </c>
      <c r="M40" s="49">
        <f ca="1">+'National Results'!$G45*'Material %'!M43</f>
        <v>0</v>
      </c>
      <c r="N40" s="49">
        <f ca="1">+'National Results'!$G45*'Material %'!N43</f>
        <v>0</v>
      </c>
      <c r="O40" s="49">
        <f ca="1">+'National Results'!$G45*'Material %'!O43</f>
        <v>0</v>
      </c>
      <c r="P40" s="49">
        <f ca="1">+'National Results'!$G45*'Material %'!P43</f>
        <v>0</v>
      </c>
      <c r="Q40" s="144">
        <f ca="1">SUM(L40:P40)</f>
        <v>0</v>
      </c>
      <c r="R40" s="49">
        <f ca="1">+'National Results'!$G45*'Material %'!R43</f>
        <v>0</v>
      </c>
      <c r="S40" s="49">
        <f ca="1">+'National Results'!$G45*'Material %'!S43</f>
        <v>0</v>
      </c>
      <c r="T40" s="49">
        <f ca="1">+'National Results'!$G45*'Material %'!T43</f>
        <v>599.26137465610645</v>
      </c>
      <c r="U40" s="145">
        <f ca="1">+SUM(K40,Q40:T40)</f>
        <v>599.26137465610645</v>
      </c>
    </row>
    <row r="41" spans="2:21" s="43" customFormat="1" x14ac:dyDescent="0.5">
      <c r="B41" s="85" t="s">
        <v>37</v>
      </c>
      <c r="C41" s="75"/>
      <c r="D41" s="175"/>
      <c r="E41" s="175"/>
      <c r="F41" s="175"/>
      <c r="G41" s="151">
        <f ca="1">+SUM(G35,G37:G40)</f>
        <v>3093.4466907054134</v>
      </c>
      <c r="H41" s="152">
        <f ca="1">+SUM(H35,H37:H40)</f>
        <v>453.69669070541335</v>
      </c>
      <c r="I41" s="152">
        <f t="shared" ref="I41" ca="1" si="22">+SUM(I35,I37:I40)</f>
        <v>2639.75</v>
      </c>
      <c r="J41" s="152">
        <f t="shared" ref="J41" ca="1" si="23">+SUM(J35,J37:J40)</f>
        <v>2639.75</v>
      </c>
      <c r="K41" s="137">
        <f ca="1">+SUM(K35,K37:K40)</f>
        <v>3547.1433814108268</v>
      </c>
      <c r="L41" s="152">
        <f ca="1">+SUM(L35,L37:L40)</f>
        <v>0</v>
      </c>
      <c r="M41" s="152">
        <f t="shared" ref="M41:P41" ca="1" si="24">+SUM(M35,M37:M40)</f>
        <v>28688.561125170458</v>
      </c>
      <c r="N41" s="152">
        <f t="shared" ca="1" si="24"/>
        <v>19240.770000000004</v>
      </c>
      <c r="O41" s="152">
        <f t="shared" ca="1" si="24"/>
        <v>2639.75</v>
      </c>
      <c r="P41" s="152">
        <f t="shared" ca="1" si="24"/>
        <v>0</v>
      </c>
      <c r="Q41" s="137">
        <f t="shared" ref="Q41" ca="1" si="25">+SUM(Q35,Q37:Q40)</f>
        <v>50569.081125170465</v>
      </c>
      <c r="R41" s="152">
        <f t="shared" ref="R41" ca="1" si="26">+SUM(R35,R37:R40)</f>
        <v>6007.5230219799778</v>
      </c>
      <c r="S41" s="152">
        <f t="shared" ref="S41" ca="1" si="27">+SUM(S35,S37:S40)</f>
        <v>0</v>
      </c>
      <c r="T41" s="152">
        <f t="shared" ref="T41" ca="1" si="28">+SUM(T35,T37:T40)</f>
        <v>1102.7463116341273</v>
      </c>
      <c r="U41" s="138">
        <f ca="1">+SUM(K41,Q41:T41)</f>
        <v>61226.493840195391</v>
      </c>
    </row>
    <row r="42" spans="2:21" s="1" customFormat="1" ht="7.1" customHeight="1" x14ac:dyDescent="0.5">
      <c r="B42" s="85"/>
      <c r="C42" s="64"/>
      <c r="D42" s="64"/>
      <c r="E42" s="64"/>
      <c r="F42" s="64"/>
      <c r="G42" s="136"/>
      <c r="H42" s="74"/>
      <c r="I42" s="74"/>
      <c r="J42" s="74"/>
      <c r="K42" s="137"/>
      <c r="L42" s="136"/>
      <c r="M42" s="74"/>
      <c r="N42" s="74"/>
      <c r="O42" s="74"/>
      <c r="P42" s="74"/>
      <c r="Q42" s="137"/>
      <c r="R42" s="74"/>
      <c r="S42" s="74"/>
      <c r="T42" s="74"/>
      <c r="U42" s="138"/>
    </row>
    <row r="43" spans="2:21" s="1" customFormat="1" x14ac:dyDescent="0.5">
      <c r="B43" s="86" t="s">
        <v>19</v>
      </c>
      <c r="C43" s="166"/>
      <c r="D43" s="166"/>
      <c r="E43" s="167"/>
      <c r="F43" s="167"/>
      <c r="G43" s="139"/>
      <c r="H43" s="140"/>
      <c r="I43" s="140"/>
      <c r="J43" s="140"/>
      <c r="K43" s="141"/>
      <c r="L43" s="139"/>
      <c r="M43" s="140"/>
      <c r="N43" s="140"/>
      <c r="O43" s="140"/>
      <c r="P43" s="140"/>
      <c r="Q43" s="141"/>
      <c r="R43" s="140"/>
      <c r="S43" s="140"/>
      <c r="T43" s="140"/>
      <c r="U43" s="142"/>
    </row>
    <row r="44" spans="2:21" s="1" customFormat="1" x14ac:dyDescent="0.5">
      <c r="B44" s="14" t="s">
        <v>19</v>
      </c>
      <c r="C44" s="64"/>
      <c r="D44" s="64"/>
      <c r="E44" s="73"/>
      <c r="F44" s="73"/>
      <c r="G44" s="136">
        <f ca="1">+'National Results'!$G49*'Material %'!G46</f>
        <v>0</v>
      </c>
      <c r="H44" s="74">
        <f ca="1">+'National Results'!$G49*'Material %'!H46</f>
        <v>234146</v>
      </c>
      <c r="I44" s="74">
        <f ca="1">+'National Results'!$G49*'Material %'!I46</f>
        <v>0</v>
      </c>
      <c r="J44" s="74">
        <f ca="1">+'National Results'!$G49*'Material %'!J46</f>
        <v>0</v>
      </c>
      <c r="K44" s="137">
        <f ca="1">+G44+H44</f>
        <v>234146</v>
      </c>
      <c r="L44" s="136">
        <f ca="1">+'National Results'!$G49*'Material %'!L46</f>
        <v>0</v>
      </c>
      <c r="M44" s="74">
        <f ca="1">+'National Results'!$G49*'Material %'!M46</f>
        <v>0</v>
      </c>
      <c r="N44" s="74">
        <f ca="1">+'National Results'!$G49*'Material %'!N46</f>
        <v>0</v>
      </c>
      <c r="O44" s="74">
        <f ca="1">+'National Results'!$G49*'Material %'!O46</f>
        <v>0</v>
      </c>
      <c r="P44" s="74">
        <f ca="1">+'National Results'!$G49*'Material %'!P46</f>
        <v>0</v>
      </c>
      <c r="Q44" s="137">
        <f t="shared" ref="Q44" ca="1" si="29">SUM(L44:P44)</f>
        <v>0</v>
      </c>
      <c r="R44" s="74">
        <f ca="1">+'National Results'!$G49*'Material %'!R46</f>
        <v>0</v>
      </c>
      <c r="S44" s="74">
        <f ca="1">+'National Results'!$G49*'Material %'!S46</f>
        <v>0</v>
      </c>
      <c r="T44" s="74">
        <f ca="1">+'National Results'!$G49*'Material %'!T46</f>
        <v>0</v>
      </c>
      <c r="U44" s="138">
        <f ca="1">+SUM(K44,Q44:T44)</f>
        <v>234146</v>
      </c>
    </row>
    <row r="45" spans="2:21" s="1" customFormat="1" ht="7.1" customHeight="1" x14ac:dyDescent="0.5">
      <c r="B45" s="14"/>
      <c r="C45" s="64"/>
      <c r="D45" s="64"/>
      <c r="E45" s="73"/>
      <c r="F45" s="73"/>
      <c r="G45" s="136"/>
      <c r="H45" s="74"/>
      <c r="I45" s="74"/>
      <c r="J45" s="74"/>
      <c r="K45" s="137"/>
      <c r="L45" s="136"/>
      <c r="M45" s="74"/>
      <c r="N45" s="74"/>
      <c r="O45" s="74"/>
      <c r="P45" s="74"/>
      <c r="Q45" s="137"/>
      <c r="R45" s="74"/>
      <c r="S45" s="74"/>
      <c r="T45" s="74"/>
      <c r="U45" s="138"/>
    </row>
    <row r="46" spans="2:21" s="1" customFormat="1" x14ac:dyDescent="0.5">
      <c r="B46" s="86" t="s">
        <v>25</v>
      </c>
      <c r="C46" s="166"/>
      <c r="D46" s="166"/>
      <c r="E46" s="166"/>
      <c r="F46" s="166"/>
      <c r="G46" s="139"/>
      <c r="H46" s="140"/>
      <c r="I46" s="140"/>
      <c r="J46" s="140"/>
      <c r="K46" s="141"/>
      <c r="L46" s="139"/>
      <c r="M46" s="140"/>
      <c r="N46" s="140"/>
      <c r="O46" s="140"/>
      <c r="P46" s="140"/>
      <c r="Q46" s="141"/>
      <c r="R46" s="140"/>
      <c r="S46" s="140"/>
      <c r="T46" s="140"/>
      <c r="U46" s="142"/>
    </row>
    <row r="47" spans="2:21" s="1" customFormat="1" x14ac:dyDescent="0.5">
      <c r="B47" s="14" t="s">
        <v>25</v>
      </c>
      <c r="C47" s="64"/>
      <c r="D47" s="64"/>
      <c r="E47" s="64"/>
      <c r="F47" s="64"/>
      <c r="G47" s="136">
        <f ca="1">+'National Results'!$G52*'Material %'!G49</f>
        <v>16959.600000000002</v>
      </c>
      <c r="H47" s="74">
        <f ca="1">+'National Results'!$G52*'Material %'!H49</f>
        <v>0</v>
      </c>
      <c r="I47" s="74">
        <f ca="1">+'National Results'!$G52*'Material %'!I49</f>
        <v>0</v>
      </c>
      <c r="J47" s="74">
        <f ca="1">+'National Results'!$G52*'Material %'!J49</f>
        <v>0</v>
      </c>
      <c r="K47" s="137">
        <f ca="1">+G47+H47</f>
        <v>16959.600000000002</v>
      </c>
      <c r="L47" s="136">
        <f ca="1">+'National Results'!$G52*'Material %'!L49</f>
        <v>0</v>
      </c>
      <c r="M47" s="74">
        <f ca="1">+'National Results'!$G52*'Material %'!M49</f>
        <v>0</v>
      </c>
      <c r="N47" s="74">
        <f ca="1">+'National Results'!$G52*'Material %'!N49</f>
        <v>0</v>
      </c>
      <c r="O47" s="74">
        <f ca="1">+'National Results'!$G52*'Material %'!O49</f>
        <v>0</v>
      </c>
      <c r="P47" s="74">
        <f ca="1">+'National Results'!$G52*'Material %'!P49</f>
        <v>0</v>
      </c>
      <c r="Q47" s="137">
        <f t="shared" ref="Q47" ca="1" si="30">SUM(L47:P47)</f>
        <v>0</v>
      </c>
      <c r="R47" s="74">
        <f ca="1">+'National Results'!$G52*'Material %'!R49</f>
        <v>0</v>
      </c>
      <c r="S47" s="74">
        <f ca="1">+'National Results'!$G52*'Material %'!S49</f>
        <v>1884.4</v>
      </c>
      <c r="T47" s="74">
        <f ca="1">+'National Results'!$G52*'Material %'!T49</f>
        <v>0</v>
      </c>
      <c r="U47" s="138">
        <f ca="1">+SUM(K47,Q47:T47)</f>
        <v>18844.000000000004</v>
      </c>
    </row>
    <row r="48" spans="2:21" s="1" customFormat="1" ht="7.1" customHeight="1" x14ac:dyDescent="0.5">
      <c r="B48" s="14"/>
      <c r="C48" s="64"/>
      <c r="D48" s="64"/>
      <c r="E48" s="64"/>
      <c r="F48" s="64"/>
      <c r="G48" s="136"/>
      <c r="H48" s="74"/>
      <c r="I48" s="74"/>
      <c r="J48" s="74"/>
      <c r="K48" s="137"/>
      <c r="L48" s="136"/>
      <c r="M48" s="74"/>
      <c r="N48" s="74"/>
      <c r="O48" s="74"/>
      <c r="P48" s="74"/>
      <c r="Q48" s="137"/>
      <c r="R48" s="74"/>
      <c r="S48" s="74"/>
      <c r="T48" s="74"/>
      <c r="U48" s="138"/>
    </row>
    <row r="49" spans="1:23" s="1" customFormat="1" x14ac:dyDescent="0.5">
      <c r="B49" s="86" t="s">
        <v>4</v>
      </c>
      <c r="C49" s="166"/>
      <c r="D49" s="166"/>
      <c r="E49" s="166"/>
      <c r="F49" s="166"/>
      <c r="G49" s="139"/>
      <c r="H49" s="140"/>
      <c r="I49" s="140"/>
      <c r="J49" s="140"/>
      <c r="K49" s="141"/>
      <c r="L49" s="139"/>
      <c r="M49" s="140"/>
      <c r="N49" s="140"/>
      <c r="O49" s="140"/>
      <c r="P49" s="140"/>
      <c r="Q49" s="141"/>
      <c r="R49" s="140"/>
      <c r="S49" s="140"/>
      <c r="T49" s="140"/>
      <c r="U49" s="142"/>
    </row>
    <row r="50" spans="1:23" s="1" customFormat="1" x14ac:dyDescent="0.5">
      <c r="B50" s="14" t="s">
        <v>20</v>
      </c>
      <c r="C50" s="64"/>
      <c r="D50" s="64"/>
      <c r="E50" s="73"/>
      <c r="F50" s="73"/>
      <c r="G50" s="136">
        <f ca="1">+'National Results'!$G55*'Material %'!G52</f>
        <v>1861.4299999999998</v>
      </c>
      <c r="H50" s="74">
        <f ca="1">+'National Results'!$G55*'Material %'!H52</f>
        <v>38.380000000000003</v>
      </c>
      <c r="I50" s="74">
        <f ca="1">+'National Results'!$G55*'Material %'!I52</f>
        <v>0</v>
      </c>
      <c r="J50" s="74">
        <f ca="1">+'National Results'!$G55*'Material %'!J52</f>
        <v>19.190000000000001</v>
      </c>
      <c r="K50" s="137">
        <f ca="1">+G50+H50</f>
        <v>1899.81</v>
      </c>
      <c r="L50" s="136">
        <f ca="1">+'National Results'!$G55*'Material %'!L52</f>
        <v>0</v>
      </c>
      <c r="M50" s="74">
        <f ca="1">+'National Results'!$G55*'Material %'!M52</f>
        <v>0</v>
      </c>
      <c r="N50" s="74">
        <f ca="1">+'National Results'!$G55*'Material %'!N52</f>
        <v>0</v>
      </c>
      <c r="O50" s="74">
        <f ca="1">+'National Results'!$G55*'Material %'!O52</f>
        <v>0</v>
      </c>
      <c r="P50" s="74">
        <f ca="1">+'National Results'!$G55*'Material %'!P52</f>
        <v>0</v>
      </c>
      <c r="Q50" s="137">
        <f t="shared" ref="Q50:Q51" ca="1" si="31">SUM(L50:P50)</f>
        <v>0</v>
      </c>
      <c r="R50" s="74">
        <f ca="1">+'National Results'!$G55*'Material %'!R52</f>
        <v>0</v>
      </c>
      <c r="S50" s="74">
        <f ca="1">+'National Results'!$G55*'Material %'!S52</f>
        <v>0</v>
      </c>
      <c r="T50" s="74">
        <f ca="1">+'National Results'!$G55*'Material %'!T52</f>
        <v>0</v>
      </c>
      <c r="U50" s="138">
        <f ca="1">+SUM(K50,Q50:T50)</f>
        <v>1899.81</v>
      </c>
    </row>
    <row r="51" spans="1:23" s="1" customFormat="1" x14ac:dyDescent="0.5">
      <c r="B51" s="14" t="s">
        <v>11</v>
      </c>
      <c r="C51" s="64"/>
      <c r="D51" s="64"/>
      <c r="E51" s="73"/>
      <c r="F51" s="73"/>
      <c r="G51" s="136">
        <f ca="1">+'National Results'!$G56*'Material %'!G53</f>
        <v>1690.9900000000002</v>
      </c>
      <c r="H51" s="74">
        <f ca="1">+'National Results'!$G56*'Material %'!H53</f>
        <v>0</v>
      </c>
      <c r="I51" s="74">
        <f ca="1">+'National Results'!$G56*'Material %'!I53</f>
        <v>0</v>
      </c>
      <c r="J51" s="74">
        <f ca="1">+'National Results'!$G56*'Material %'!J53</f>
        <v>0</v>
      </c>
      <c r="K51" s="137">
        <f ca="1">+G51+H51</f>
        <v>1690.9900000000002</v>
      </c>
      <c r="L51" s="136">
        <f ca="1">+'National Results'!$G56*'Material %'!L53</f>
        <v>0</v>
      </c>
      <c r="M51" s="74">
        <f ca="1">+'National Results'!$G56*'Material %'!M53</f>
        <v>6280.8200000000006</v>
      </c>
      <c r="N51" s="74">
        <f ca="1">+'National Results'!$G56*'Material %'!N53</f>
        <v>6280.8200000000006</v>
      </c>
      <c r="O51" s="74">
        <f ca="1">+'National Results'!$G56*'Material %'!O53</f>
        <v>9662.8000000000011</v>
      </c>
      <c r="P51" s="74">
        <f ca="1">+'National Results'!$G56*'Material %'!P53</f>
        <v>0</v>
      </c>
      <c r="Q51" s="137">
        <f t="shared" ca="1" si="31"/>
        <v>22224.440000000002</v>
      </c>
      <c r="R51" s="74">
        <f ca="1">+'National Results'!$G56*'Material %'!R53</f>
        <v>241.57</v>
      </c>
      <c r="S51" s="74">
        <f ca="1">+'National Results'!$G56*'Material %'!S53</f>
        <v>0</v>
      </c>
      <c r="T51" s="74">
        <f ca="1">+'National Results'!$G56*'Material %'!T53</f>
        <v>0</v>
      </c>
      <c r="U51" s="138">
        <f ca="1">+SUM(K51,Q51:T51)</f>
        <v>24157.000000000004</v>
      </c>
    </row>
    <row r="52" spans="1:23" s="1" customFormat="1" x14ac:dyDescent="0.5">
      <c r="B52" s="174" t="s">
        <v>55</v>
      </c>
      <c r="C52" s="48"/>
      <c r="D52" s="48"/>
      <c r="E52" s="47"/>
      <c r="F52" s="47"/>
      <c r="G52" s="143">
        <f ca="1">+'National Results'!$G57*'Material %'!G54</f>
        <v>0</v>
      </c>
      <c r="H52" s="49">
        <f ca="1">+'National Results'!$G57*'Material %'!H54</f>
        <v>2933</v>
      </c>
      <c r="I52" s="49">
        <f ca="1">+'National Results'!$G57*'Material %'!I54</f>
        <v>0</v>
      </c>
      <c r="J52" s="49">
        <f ca="1">+'National Results'!$G57*'Material %'!J54</f>
        <v>0</v>
      </c>
      <c r="K52" s="144">
        <f ca="1">+G52+H52</f>
        <v>2933</v>
      </c>
      <c r="L52" s="143">
        <f ca="1">+'National Results'!$G57*'Material %'!L54</f>
        <v>0</v>
      </c>
      <c r="M52" s="49">
        <f ca="1">+'National Results'!$G57*'Material %'!M54</f>
        <v>0</v>
      </c>
      <c r="N52" s="49">
        <f ca="1">+'National Results'!$G57*'Material %'!N54</f>
        <v>0</v>
      </c>
      <c r="O52" s="49">
        <f ca="1">+'National Results'!$G57*'Material %'!O54</f>
        <v>0</v>
      </c>
      <c r="P52" s="49">
        <f ca="1">+'National Results'!$G57*'Material %'!P54</f>
        <v>0</v>
      </c>
      <c r="Q52" s="144">
        <f ca="1">SUM(L52:P52)</f>
        <v>0</v>
      </c>
      <c r="R52" s="49">
        <f ca="1">+'National Results'!$G57*'Material %'!R54</f>
        <v>0</v>
      </c>
      <c r="S52" s="49">
        <f ca="1">+'National Results'!$G57*'Material %'!S54</f>
        <v>0</v>
      </c>
      <c r="T52" s="49">
        <f ca="1">+'National Results'!$G57*'Material %'!T54</f>
        <v>0</v>
      </c>
      <c r="U52" s="145">
        <f ca="1">+SUM(K52,Q52:T52)</f>
        <v>2933</v>
      </c>
    </row>
    <row r="53" spans="1:23" s="43" customFormat="1" x14ac:dyDescent="0.5">
      <c r="B53" s="85" t="s">
        <v>38</v>
      </c>
      <c r="C53" s="175"/>
      <c r="D53" s="175"/>
      <c r="E53" s="75"/>
      <c r="F53" s="75"/>
      <c r="G53" s="151">
        <f t="shared" ref="G53:T53" ca="1" si="32">SUM(G50:G52)</f>
        <v>3552.42</v>
      </c>
      <c r="H53" s="152">
        <f t="shared" ca="1" si="32"/>
        <v>2971.38</v>
      </c>
      <c r="I53" s="152">
        <f ca="1">SUM(I50:I52)</f>
        <v>0</v>
      </c>
      <c r="J53" s="152">
        <f ca="1">SUM(J50:J52)</f>
        <v>19.190000000000001</v>
      </c>
      <c r="K53" s="137">
        <f t="shared" ca="1" si="32"/>
        <v>6523.8</v>
      </c>
      <c r="L53" s="151">
        <f t="shared" ca="1" si="32"/>
        <v>0</v>
      </c>
      <c r="M53" s="152">
        <f t="shared" ca="1" si="32"/>
        <v>6280.8200000000006</v>
      </c>
      <c r="N53" s="152">
        <f t="shared" ca="1" si="32"/>
        <v>6280.8200000000006</v>
      </c>
      <c r="O53" s="152">
        <f ca="1">SUM(O50:O52)</f>
        <v>9662.8000000000011</v>
      </c>
      <c r="P53" s="152">
        <f t="shared" ca="1" si="32"/>
        <v>0</v>
      </c>
      <c r="Q53" s="137">
        <f t="shared" ca="1" si="32"/>
        <v>22224.440000000002</v>
      </c>
      <c r="R53" s="152">
        <f t="shared" ca="1" si="32"/>
        <v>241.57</v>
      </c>
      <c r="S53" s="152">
        <f t="shared" ca="1" si="32"/>
        <v>0</v>
      </c>
      <c r="T53" s="152">
        <f t="shared" ca="1" si="32"/>
        <v>0</v>
      </c>
      <c r="U53" s="138">
        <f ca="1">+SUM(K53,Q53:T53)</f>
        <v>28989.81</v>
      </c>
    </row>
    <row r="54" spans="1:23" s="43" customFormat="1" ht="7.1" customHeight="1" thickBot="1" x14ac:dyDescent="0.55000000000000004">
      <c r="B54" s="85"/>
      <c r="C54" s="175"/>
      <c r="D54" s="175"/>
      <c r="E54" s="75"/>
      <c r="F54" s="73"/>
      <c r="G54" s="136"/>
      <c r="H54" s="74"/>
      <c r="I54" s="74"/>
      <c r="J54" s="74"/>
      <c r="K54" s="137"/>
      <c r="L54" s="136"/>
      <c r="M54" s="74"/>
      <c r="N54" s="74"/>
      <c r="O54" s="74"/>
      <c r="P54" s="74"/>
      <c r="Q54" s="137"/>
      <c r="R54" s="74"/>
      <c r="S54" s="74"/>
      <c r="T54" s="74"/>
      <c r="U54" s="138"/>
    </row>
    <row r="55" spans="1:23" s="43" customFormat="1" ht="14.7" thickBot="1" x14ac:dyDescent="0.55000000000000004">
      <c r="B55" s="146" t="s">
        <v>39</v>
      </c>
      <c r="C55" s="147"/>
      <c r="D55" s="147"/>
      <c r="E55" s="148"/>
      <c r="F55" s="148"/>
      <c r="G55" s="153">
        <f t="shared" ref="G55:U55" ca="1" si="33">+G13+G21+G26+G31+G41+G44+G47+G53</f>
        <v>66565.636690705418</v>
      </c>
      <c r="H55" s="154">
        <f t="shared" ca="1" si="33"/>
        <v>250698.39669070541</v>
      </c>
      <c r="I55" s="154">
        <f ca="1">+I13+I21+I26+I31+I41+I44+I47+I53</f>
        <v>5058.13</v>
      </c>
      <c r="J55" s="154">
        <f ca="1">+J13+J21+J26+J31+J41+J44+J47+J53</f>
        <v>2866.03</v>
      </c>
      <c r="K55" s="149">
        <f t="shared" ca="1" si="33"/>
        <v>317264.03338141082</v>
      </c>
      <c r="L55" s="153">
        <f t="shared" ca="1" si="33"/>
        <v>73542.12</v>
      </c>
      <c r="M55" s="154">
        <f t="shared" ca="1" si="33"/>
        <v>51618.761125170458</v>
      </c>
      <c r="N55" s="154">
        <f t="shared" ca="1" si="33"/>
        <v>39843.270000000004</v>
      </c>
      <c r="O55" s="154">
        <f ca="1">+O13+O21+O26+O31+O41+O44+O47+O53</f>
        <v>42399.83</v>
      </c>
      <c r="P55" s="154">
        <f t="shared" ca="1" si="33"/>
        <v>12014.5</v>
      </c>
      <c r="Q55" s="149">
        <f t="shared" ca="1" si="33"/>
        <v>219418.48112517045</v>
      </c>
      <c r="R55" s="154">
        <f t="shared" ca="1" si="33"/>
        <v>13771.903021979979</v>
      </c>
      <c r="S55" s="154">
        <f t="shared" ca="1" si="33"/>
        <v>1958.67</v>
      </c>
      <c r="T55" s="154">
        <f t="shared" ca="1" si="33"/>
        <v>1102.7463116341273</v>
      </c>
      <c r="U55" s="150">
        <f t="shared" ca="1" si="33"/>
        <v>553515.83384019544</v>
      </c>
    </row>
    <row r="57" spans="1:23" ht="14.7" thickBot="1" x14ac:dyDescent="0.55000000000000004"/>
    <row r="58" spans="1:23" s="1" customFormat="1" ht="16" thickBot="1" x14ac:dyDescent="0.6">
      <c r="B58" s="168" t="str">
        <f ca="1">"Total Units, NYC (millions) -- "&amp;'On or Off Premise'!J5&amp;'On or Off Premise'!J6</f>
        <v>Total Units, NYC (millions) -- All Units</v>
      </c>
      <c r="C58" s="169"/>
      <c r="D58" s="169"/>
      <c r="E58" s="170"/>
      <c r="F58" s="170"/>
      <c r="G58" s="171"/>
      <c r="H58" s="171"/>
      <c r="I58" s="171"/>
      <c r="J58" s="171"/>
      <c r="K58" s="171"/>
      <c r="L58" s="171"/>
      <c r="M58" s="171"/>
      <c r="N58" s="171"/>
      <c r="O58" s="171"/>
      <c r="P58" s="171"/>
      <c r="Q58" s="171"/>
      <c r="R58" s="171"/>
      <c r="S58" s="171"/>
      <c r="T58" s="171"/>
      <c r="U58" s="172"/>
    </row>
    <row r="59" spans="1:23" s="1" customFormat="1" ht="16" thickBot="1" x14ac:dyDescent="0.6">
      <c r="B59" s="205"/>
      <c r="C59" s="198"/>
      <c r="D59" s="198"/>
      <c r="E59" s="197"/>
      <c r="F59" s="66"/>
      <c r="G59" s="209" t="s">
        <v>73</v>
      </c>
      <c r="H59" s="210"/>
      <c r="I59" s="210"/>
      <c r="J59" s="210"/>
      <c r="K59" s="211"/>
      <c r="L59" s="372" t="s">
        <v>72</v>
      </c>
      <c r="M59" s="373"/>
      <c r="N59" s="373"/>
      <c r="O59" s="373"/>
      <c r="P59" s="373"/>
      <c r="Q59" s="374"/>
      <c r="R59" s="375" t="s">
        <v>4</v>
      </c>
      <c r="S59" s="376"/>
      <c r="T59" s="387"/>
      <c r="U59" s="119"/>
    </row>
    <row r="60" spans="1:23" s="65" customFormat="1" ht="15.7" x14ac:dyDescent="0.55000000000000004">
      <c r="B60" s="163"/>
      <c r="C60" s="59"/>
      <c r="D60" s="59"/>
      <c r="E60" s="59"/>
      <c r="F60" s="59"/>
      <c r="G60" s="57" t="str">
        <f>+G5</f>
        <v>Lined</v>
      </c>
      <c r="H60" s="28" t="str">
        <f t="shared" ref="H60:U60" si="34">+H5</f>
        <v>Unlined</v>
      </c>
      <c r="I60" s="28" t="str">
        <f t="shared" ref="I60:J60" si="35">+I5</f>
        <v>Molded</v>
      </c>
      <c r="J60" s="28" t="str">
        <f t="shared" si="35"/>
        <v>Plant</v>
      </c>
      <c r="K60" s="69" t="str">
        <f t="shared" si="34"/>
        <v>TOTAL</v>
      </c>
      <c r="L60" s="57"/>
      <c r="M60" s="28"/>
      <c r="N60" s="28"/>
      <c r="O60" s="28" t="str">
        <f t="shared" si="34"/>
        <v>EPS</v>
      </c>
      <c r="P60" s="28" t="s">
        <v>71</v>
      </c>
      <c r="Q60" s="69" t="str">
        <f t="shared" si="34"/>
        <v>TOTAL</v>
      </c>
      <c r="R60" s="28"/>
      <c r="S60" s="28"/>
      <c r="T60" s="28"/>
      <c r="U60" s="204" t="str">
        <f t="shared" si="34"/>
        <v>GRAND</v>
      </c>
    </row>
    <row r="61" spans="1:23" s="65" customFormat="1" ht="16" thickBot="1" x14ac:dyDescent="0.6">
      <c r="B61" s="164"/>
      <c r="C61" s="29"/>
      <c r="D61" s="29"/>
      <c r="E61" s="29"/>
      <c r="F61" s="29"/>
      <c r="G61" s="58" t="str">
        <f>+G6</f>
        <v>Paper</v>
      </c>
      <c r="H61" s="29" t="str">
        <f t="shared" ref="H61:U61" si="36">+H6</f>
        <v>Paper</v>
      </c>
      <c r="I61" s="29" t="str">
        <f t="shared" ref="I61:J61" si="37">+I6</f>
        <v>Fiber</v>
      </c>
      <c r="J61" s="29" t="str">
        <f t="shared" si="37"/>
        <v>Fiber</v>
      </c>
      <c r="K61" s="70" t="str">
        <f t="shared" si="36"/>
        <v>PAPER</v>
      </c>
      <c r="L61" s="58" t="str">
        <f t="shared" si="36"/>
        <v>PET</v>
      </c>
      <c r="M61" s="29" t="str">
        <f t="shared" si="36"/>
        <v>PP</v>
      </c>
      <c r="N61" s="29" t="str">
        <f t="shared" si="36"/>
        <v>PS</v>
      </c>
      <c r="O61" s="29" t="str">
        <f t="shared" si="36"/>
        <v>Foam</v>
      </c>
      <c r="P61" s="29" t="str">
        <f t="shared" si="36"/>
        <v>Film</v>
      </c>
      <c r="Q61" s="70" t="str">
        <f t="shared" si="36"/>
        <v>PLASTIC</v>
      </c>
      <c r="R61" s="29" t="str">
        <f t="shared" si="36"/>
        <v>PLA</v>
      </c>
      <c r="S61" s="29" t="str">
        <f t="shared" si="36"/>
        <v>Aluminum</v>
      </c>
      <c r="T61" s="29" t="str">
        <f t="shared" si="36"/>
        <v>Wood</v>
      </c>
      <c r="U61" s="120" t="str">
        <f t="shared" si="36"/>
        <v>TOTAL</v>
      </c>
    </row>
    <row r="62" spans="1:23" s="1" customFormat="1" ht="15.7" x14ac:dyDescent="0.55000000000000004">
      <c r="B62" s="84" t="s">
        <v>21</v>
      </c>
      <c r="C62" s="173"/>
      <c r="D62" s="173"/>
      <c r="E62" s="166"/>
      <c r="F62" s="131"/>
      <c r="G62" s="132"/>
      <c r="H62" s="133"/>
      <c r="I62" s="133"/>
      <c r="J62" s="133"/>
      <c r="K62" s="134"/>
      <c r="L62" s="132"/>
      <c r="M62" s="133"/>
      <c r="N62" s="133"/>
      <c r="O62" s="133"/>
      <c r="P62" s="133"/>
      <c r="Q62" s="134"/>
      <c r="R62" s="133"/>
      <c r="S62" s="133"/>
      <c r="T62" s="133"/>
      <c r="U62" s="135"/>
    </row>
    <row r="63" spans="1:23" s="1" customFormat="1" x14ac:dyDescent="0.5">
      <c r="A63" s="64"/>
      <c r="B63" s="14" t="s">
        <v>59</v>
      </c>
      <c r="C63" s="64"/>
      <c r="D63" s="64"/>
      <c r="E63" s="64"/>
      <c r="F63" s="64"/>
      <c r="G63" s="136"/>
      <c r="H63" s="74"/>
      <c r="I63" s="74"/>
      <c r="J63" s="74"/>
      <c r="K63" s="137"/>
      <c r="L63" s="136"/>
      <c r="M63" s="74"/>
      <c r="N63" s="74"/>
      <c r="O63" s="74"/>
      <c r="P63" s="74"/>
      <c r="Q63" s="137"/>
      <c r="R63" s="74"/>
      <c r="S63" s="74"/>
      <c r="T63" s="74"/>
      <c r="U63" s="138"/>
    </row>
    <row r="64" spans="1:23" s="1" customFormat="1" x14ac:dyDescent="0.5">
      <c r="A64" s="64"/>
      <c r="B64" s="14"/>
      <c r="C64" s="73" t="s">
        <v>52</v>
      </c>
      <c r="D64" s="64"/>
      <c r="E64" s="64"/>
      <c r="F64" s="64"/>
      <c r="G64" s="136">
        <f ca="1">'NYC Results'!$G15*'Material %'!G16</f>
        <v>17.135999999999999</v>
      </c>
      <c r="H64" s="74">
        <f ca="1">'NYC Results'!$G15*'Material %'!H16</f>
        <v>39.984000000000002</v>
      </c>
      <c r="I64" s="74">
        <f ca="1">'NYC Results'!$G15*'Material %'!I16</f>
        <v>0</v>
      </c>
      <c r="J64" s="74">
        <f ca="1">'NYC Results'!$G15*'Material %'!J16</f>
        <v>0</v>
      </c>
      <c r="K64" s="137">
        <f ca="1">+G64+H64</f>
        <v>57.120000000000005</v>
      </c>
      <c r="L64" s="136">
        <f ca="1">'NYC Results'!$G15*'Material %'!L16</f>
        <v>0</v>
      </c>
      <c r="M64" s="74">
        <f ca="1">'NYC Results'!$G15*'Material %'!M16</f>
        <v>0</v>
      </c>
      <c r="N64" s="74">
        <f ca="1">'NYC Results'!$G15*'Material %'!N16</f>
        <v>0</v>
      </c>
      <c r="O64" s="74">
        <f ca="1">'NYC Results'!$G15*'Material %'!O16</f>
        <v>0</v>
      </c>
      <c r="P64" s="74">
        <f ca="1">'NYC Results'!$G15*'Material %'!P16</f>
        <v>0</v>
      </c>
      <c r="Q64" s="137">
        <f ca="1">SUM(L64:P64)</f>
        <v>0</v>
      </c>
      <c r="R64" s="74">
        <f ca="1">'NYC Results'!$G15*'Material %'!R16</f>
        <v>0</v>
      </c>
      <c r="S64" s="74">
        <f ca="1">'NYC Results'!$G15*'Material %'!S16</f>
        <v>0</v>
      </c>
      <c r="T64" s="74">
        <f ca="1">'NYC Results'!$G15*'Material %'!T16</f>
        <v>0</v>
      </c>
      <c r="U64" s="138">
        <f ca="1">+SUM(K64,Q64:T64)</f>
        <v>57.120000000000005</v>
      </c>
      <c r="W64" s="225"/>
    </row>
    <row r="65" spans="1:23" s="1" customFormat="1" x14ac:dyDescent="0.5">
      <c r="A65" s="64"/>
      <c r="B65" s="85"/>
      <c r="C65" s="73" t="s">
        <v>4</v>
      </c>
      <c r="D65" s="64"/>
      <c r="E65" s="64"/>
      <c r="F65" s="64"/>
      <c r="G65" s="136">
        <f ca="1">'NYC Results'!$G16*'Material %'!G17</f>
        <v>96.124800000000008</v>
      </c>
      <c r="H65" s="74">
        <f ca="1">'NYC Results'!$G16*'Material %'!H17</f>
        <v>0</v>
      </c>
      <c r="I65" s="74">
        <f ca="1">'NYC Results'!$G16*'Material %'!I17</f>
        <v>0</v>
      </c>
      <c r="J65" s="74">
        <f ca="1">'NYC Results'!$G16*'Material %'!J17</f>
        <v>0</v>
      </c>
      <c r="K65" s="137">
        <f t="shared" ref="K65:K67" ca="1" si="38">+G65+H65</f>
        <v>96.124800000000008</v>
      </c>
      <c r="L65" s="136">
        <f ca="1">'NYC Results'!$G16*'Material %'!L17</f>
        <v>0</v>
      </c>
      <c r="M65" s="74">
        <f ca="1">'NYC Results'!$G16*'Material %'!M17</f>
        <v>0</v>
      </c>
      <c r="N65" s="74">
        <f ca="1">'NYC Results'!$G16*'Material %'!N17</f>
        <v>0</v>
      </c>
      <c r="O65" s="74">
        <f ca="1">'NYC Results'!$G16*'Material %'!O17</f>
        <v>0</v>
      </c>
      <c r="P65" s="74">
        <f ca="1">'NYC Results'!$G16*'Material %'!P17</f>
        <v>0</v>
      </c>
      <c r="Q65" s="137">
        <f t="shared" ref="Q65:Q67" ca="1" si="39">SUM(L65:P65)</f>
        <v>0</v>
      </c>
      <c r="R65" s="74">
        <f ca="1">'NYC Results'!$G16*'Material %'!R17</f>
        <v>0</v>
      </c>
      <c r="S65" s="74">
        <f ca="1">'NYC Results'!$G16*'Material %'!S17</f>
        <v>0</v>
      </c>
      <c r="T65" s="74">
        <f ca="1">'NYC Results'!$G16*'Material %'!T17</f>
        <v>0</v>
      </c>
      <c r="U65" s="138">
        <f ca="1">+SUM(K65,Q65:T65)</f>
        <v>96.124800000000008</v>
      </c>
      <c r="W65" s="225"/>
    </row>
    <row r="66" spans="1:23" s="1" customFormat="1" x14ac:dyDescent="0.5">
      <c r="A66" s="64"/>
      <c r="B66" s="14" t="s">
        <v>5</v>
      </c>
      <c r="C66" s="64"/>
      <c r="D66" s="64"/>
      <c r="E66" s="73"/>
      <c r="F66" s="73"/>
      <c r="G66" s="136">
        <f ca="1">'NYC Results'!$G17*'Material %'!G18</f>
        <v>5.4190560000000003</v>
      </c>
      <c r="H66" s="74">
        <f ca="1">'NYC Results'!$G17*'Material %'!H18</f>
        <v>5.4190560000000003</v>
      </c>
      <c r="I66" s="74">
        <f ca="1">'NYC Results'!$G17*'Material %'!I18</f>
        <v>5.4190560000000003</v>
      </c>
      <c r="J66" s="74">
        <f ca="1">'NYC Results'!$G17*'Material %'!J18</f>
        <v>5.4190560000000003</v>
      </c>
      <c r="K66" s="137">
        <f t="shared" ca="1" si="38"/>
        <v>10.838112000000001</v>
      </c>
      <c r="L66" s="136">
        <f ca="1">'NYC Results'!$G17*'Material %'!L18</f>
        <v>54.190560000000005</v>
      </c>
      <c r="M66" s="74">
        <f ca="1">'NYC Results'!$G17*'Material %'!M18</f>
        <v>54.190560000000005</v>
      </c>
      <c r="N66" s="74">
        <f ca="1">'NYC Results'!$G17*'Material %'!N18</f>
        <v>54.190560000000005</v>
      </c>
      <c r="O66" s="74">
        <f ca="1">'NYC Results'!$G17*'Material %'!O18</f>
        <v>352.23864000000003</v>
      </c>
      <c r="P66" s="74">
        <f ca="1">'NYC Results'!$G17*'Material %'!P18</f>
        <v>0</v>
      </c>
      <c r="Q66" s="137">
        <f t="shared" ca="1" si="39"/>
        <v>514.81032000000005</v>
      </c>
      <c r="R66" s="74">
        <f ca="1">'NYC Results'!$G17*'Material %'!R18</f>
        <v>5.4190560000000003</v>
      </c>
      <c r="S66" s="74">
        <f ca="1">'NYC Results'!$G17*'Material %'!S18</f>
        <v>0</v>
      </c>
      <c r="T66" s="74">
        <f ca="1">'NYC Results'!$G17*'Material %'!T18</f>
        <v>0</v>
      </c>
      <c r="U66" s="138">
        <f ca="1">+SUM(K66,Q66:T66)</f>
        <v>531.06748800000003</v>
      </c>
      <c r="W66" s="225"/>
    </row>
    <row r="67" spans="1:23" s="1" customFormat="1" x14ac:dyDescent="0.5">
      <c r="A67" s="64"/>
      <c r="B67" s="174" t="s">
        <v>6</v>
      </c>
      <c r="C67" s="47"/>
      <c r="D67" s="48"/>
      <c r="E67" s="48"/>
      <c r="F67" s="48"/>
      <c r="G67" s="143">
        <f ca="1">'NYC Results'!$G18*'Material %'!G19</f>
        <v>15.151080000000002</v>
      </c>
      <c r="H67" s="49">
        <f ca="1">'NYC Results'!$G18*'Material %'!H19</f>
        <v>0</v>
      </c>
      <c r="I67" s="49">
        <f ca="1">'NYC Results'!$G18*'Material %'!I19</f>
        <v>90.906480000000002</v>
      </c>
      <c r="J67" s="49">
        <f ca="1">'NYC Results'!$G18*'Material %'!J19</f>
        <v>3.0302160000000002</v>
      </c>
      <c r="K67" s="144">
        <f t="shared" ca="1" si="38"/>
        <v>15.151080000000002</v>
      </c>
      <c r="L67" s="143">
        <f ca="1">'NYC Results'!$G18*'Material %'!L19</f>
        <v>12.120864000000001</v>
      </c>
      <c r="M67" s="49">
        <f ca="1">'NYC Results'!$G18*'Material %'!M19</f>
        <v>12.120864000000001</v>
      </c>
      <c r="N67" s="49">
        <f ca="1">'NYC Results'!$G18*'Material %'!N19</f>
        <v>12.120864000000001</v>
      </c>
      <c r="O67" s="49">
        <f ca="1">'NYC Results'!$G18*'Material %'!O19</f>
        <v>151.51080000000002</v>
      </c>
      <c r="P67" s="49">
        <f ca="1">'NYC Results'!$G18*'Material %'!P19</f>
        <v>0</v>
      </c>
      <c r="Q67" s="144">
        <f t="shared" ca="1" si="39"/>
        <v>187.87339200000002</v>
      </c>
      <c r="R67" s="49">
        <f ca="1">'NYC Results'!$G18*'Material %'!R19</f>
        <v>3.0302160000000002</v>
      </c>
      <c r="S67" s="49">
        <f ca="1">'NYC Results'!$G18*'Material %'!S19</f>
        <v>3.0302160000000002</v>
      </c>
      <c r="T67" s="49">
        <f ca="1">'NYC Results'!$G18*'Material %'!T19</f>
        <v>0</v>
      </c>
      <c r="U67" s="145">
        <f ca="1">+SUM(K67,Q67:T67)</f>
        <v>209.08490400000002</v>
      </c>
      <c r="W67" s="225"/>
    </row>
    <row r="68" spans="1:23" s="43" customFormat="1" x14ac:dyDescent="0.5">
      <c r="B68" s="85" t="s">
        <v>34</v>
      </c>
      <c r="C68" s="75"/>
      <c r="D68" s="175"/>
      <c r="E68" s="175"/>
      <c r="F68" s="175"/>
      <c r="G68" s="151">
        <f ca="1">SUM(G64:G67)</f>
        <v>133.83093600000001</v>
      </c>
      <c r="H68" s="152">
        <f t="shared" ref="H68:N68" ca="1" si="40">SUM(H64:H67)</f>
        <v>45.403055999999999</v>
      </c>
      <c r="I68" s="152">
        <f ca="1">SUM(I64:I67)</f>
        <v>96.325536</v>
      </c>
      <c r="J68" s="152">
        <f ca="1">SUM(J64:J67)</f>
        <v>8.4492720000000006</v>
      </c>
      <c r="K68" s="137">
        <f t="shared" ca="1" si="40"/>
        <v>179.233992</v>
      </c>
      <c r="L68" s="151">
        <f t="shared" ca="1" si="40"/>
        <v>66.311424000000002</v>
      </c>
      <c r="M68" s="152">
        <f t="shared" ca="1" si="40"/>
        <v>66.311424000000002</v>
      </c>
      <c r="N68" s="152">
        <f t="shared" ca="1" si="40"/>
        <v>66.311424000000002</v>
      </c>
      <c r="O68" s="152">
        <f ca="1">SUM(O64:O67)</f>
        <v>503.74944000000005</v>
      </c>
      <c r="P68" s="152">
        <f t="shared" ref="P68:U68" ca="1" si="41">SUM(P64:P67)</f>
        <v>0</v>
      </c>
      <c r="Q68" s="137">
        <f t="shared" ca="1" si="41"/>
        <v>702.68371200000001</v>
      </c>
      <c r="R68" s="152">
        <f t="shared" ca="1" si="41"/>
        <v>8.4492720000000006</v>
      </c>
      <c r="S68" s="152">
        <f t="shared" ca="1" si="41"/>
        <v>3.0302160000000002</v>
      </c>
      <c r="T68" s="152">
        <f t="shared" ca="1" si="41"/>
        <v>0</v>
      </c>
      <c r="U68" s="138">
        <f t="shared" ca="1" si="41"/>
        <v>893.39719200000013</v>
      </c>
      <c r="W68" s="225"/>
    </row>
    <row r="69" spans="1:23" s="1" customFormat="1" ht="7.1" customHeight="1" x14ac:dyDescent="0.5">
      <c r="B69" s="85"/>
      <c r="C69" s="64"/>
      <c r="D69" s="64"/>
      <c r="E69" s="64"/>
      <c r="F69" s="64"/>
      <c r="G69" s="136"/>
      <c r="H69" s="74"/>
      <c r="I69" s="74"/>
      <c r="J69" s="74"/>
      <c r="K69" s="137"/>
      <c r="L69" s="136"/>
      <c r="M69" s="74"/>
      <c r="N69" s="74"/>
      <c r="O69" s="74"/>
      <c r="P69" s="74"/>
      <c r="Q69" s="137"/>
      <c r="R69" s="74"/>
      <c r="S69" s="74"/>
      <c r="T69" s="74"/>
      <c r="U69" s="138"/>
      <c r="W69" s="225"/>
    </row>
    <row r="70" spans="1:23" s="1" customFormat="1" x14ac:dyDescent="0.5">
      <c r="B70" s="86" t="s">
        <v>22</v>
      </c>
      <c r="C70" s="166"/>
      <c r="D70" s="166"/>
      <c r="E70" s="166"/>
      <c r="F70" s="166"/>
      <c r="G70" s="139"/>
      <c r="H70" s="140"/>
      <c r="I70" s="140"/>
      <c r="J70" s="140"/>
      <c r="K70" s="141"/>
      <c r="L70" s="139"/>
      <c r="M70" s="140"/>
      <c r="N70" s="140"/>
      <c r="O70" s="140"/>
      <c r="P70" s="140"/>
      <c r="Q70" s="141"/>
      <c r="R70" s="140"/>
      <c r="S70" s="140"/>
      <c r="T70" s="140"/>
      <c r="U70" s="142"/>
      <c r="W70" s="225"/>
    </row>
    <row r="71" spans="1:23" s="1" customFormat="1" x14ac:dyDescent="0.5">
      <c r="B71" s="14" t="s">
        <v>53</v>
      </c>
      <c r="C71" s="64"/>
      <c r="D71" s="64"/>
      <c r="E71" s="64"/>
      <c r="F71" s="64"/>
      <c r="G71" s="136"/>
      <c r="H71" s="74"/>
      <c r="I71" s="74"/>
      <c r="J71" s="74"/>
      <c r="K71" s="137"/>
      <c r="L71" s="136"/>
      <c r="M71" s="74"/>
      <c r="N71" s="74"/>
      <c r="O71" s="74"/>
      <c r="P71" s="74"/>
      <c r="Q71" s="137"/>
      <c r="R71" s="74"/>
      <c r="S71" s="74"/>
      <c r="T71" s="74"/>
      <c r="U71" s="138"/>
      <c r="W71" s="225"/>
    </row>
    <row r="72" spans="1:23" s="1" customFormat="1" x14ac:dyDescent="0.5">
      <c r="B72" s="14"/>
      <c r="C72" s="73" t="s">
        <v>47</v>
      </c>
      <c r="D72" s="64"/>
      <c r="E72" s="64"/>
      <c r="F72" s="64"/>
      <c r="G72" s="136">
        <f ca="1">'NYC Results'!$G23*'Material %'!G23</f>
        <v>0</v>
      </c>
      <c r="H72" s="74">
        <f ca="1">'NYC Results'!$G23*'Material %'!H23</f>
        <v>0</v>
      </c>
      <c r="I72" s="74">
        <f ca="1">'NYC Results'!$G23*'Material %'!I23</f>
        <v>0</v>
      </c>
      <c r="J72" s="74">
        <f ca="1">'NYC Results'!$G23*'Material %'!J23</f>
        <v>0</v>
      </c>
      <c r="K72" s="137">
        <f t="shared" ref="K72:K75" ca="1" si="42">+G72+H72</f>
        <v>0</v>
      </c>
      <c r="L72" s="136">
        <f ca="1">'NYC Results'!$G23*'Material %'!L23</f>
        <v>0</v>
      </c>
      <c r="M72" s="74">
        <f ca="1">'NYC Results'!$G23*'Material %'!M23</f>
        <v>0</v>
      </c>
      <c r="N72" s="74">
        <f ca="1">'NYC Results'!$G23*'Material %'!N23</f>
        <v>431.99244000000004</v>
      </c>
      <c r="O72" s="74">
        <f ca="1">'NYC Results'!$G23*'Material %'!O23</f>
        <v>0</v>
      </c>
      <c r="P72" s="74">
        <f ca="1">'NYC Results'!$G23*'Material %'!P23</f>
        <v>0</v>
      </c>
      <c r="Q72" s="137">
        <f t="shared" ref="Q72:Q75" ca="1" si="43">SUM(L72:P72)</f>
        <v>431.99244000000004</v>
      </c>
      <c r="R72" s="74">
        <f ca="1">'NYC Results'!$G23*'Material %'!R23</f>
        <v>32.515560000000008</v>
      </c>
      <c r="S72" s="74">
        <f ca="1">'NYC Results'!$G23*'Material %'!S23</f>
        <v>0</v>
      </c>
      <c r="T72" s="74">
        <f ca="1">'NYC Results'!$G23*'Material %'!T23</f>
        <v>0</v>
      </c>
      <c r="U72" s="138">
        <f ca="1">+SUM(K72,Q72:T72)</f>
        <v>464.50800000000004</v>
      </c>
      <c r="W72" s="225"/>
    </row>
    <row r="73" spans="1:23" s="1" customFormat="1" x14ac:dyDescent="0.5">
      <c r="B73" s="85"/>
      <c r="C73" s="73" t="s">
        <v>48</v>
      </c>
      <c r="D73" s="64"/>
      <c r="E73" s="73"/>
      <c r="F73" s="73"/>
      <c r="G73" s="136">
        <f ca="1">'NYC Results'!$G24*'Material %'!G24</f>
        <v>0</v>
      </c>
      <c r="H73" s="74">
        <f ca="1">'NYC Results'!$G24*'Material %'!H24</f>
        <v>0</v>
      </c>
      <c r="I73" s="74">
        <f ca="1">'NYC Results'!$G24*'Material %'!I24</f>
        <v>0</v>
      </c>
      <c r="J73" s="74">
        <f ca="1">'NYC Results'!$G24*'Material %'!J24</f>
        <v>0</v>
      </c>
      <c r="K73" s="137">
        <f t="shared" ca="1" si="42"/>
        <v>0</v>
      </c>
      <c r="L73" s="136">
        <f ca="1">'NYC Results'!$G24*'Material %'!L24</f>
        <v>1635.2884800000002</v>
      </c>
      <c r="M73" s="74">
        <f ca="1">'NYC Results'!$G24*'Material %'!M24</f>
        <v>0</v>
      </c>
      <c r="N73" s="74">
        <f ca="1">'NYC Results'!$G24*'Material %'!N24</f>
        <v>54.509616000000001</v>
      </c>
      <c r="O73" s="74">
        <f ca="1">'NYC Results'!$G24*'Material %'!O24</f>
        <v>0</v>
      </c>
      <c r="P73" s="74">
        <f ca="1">'NYC Results'!$G24*'Material %'!P24</f>
        <v>0</v>
      </c>
      <c r="Q73" s="137">
        <f t="shared" ca="1" si="43"/>
        <v>1689.7980960000002</v>
      </c>
      <c r="R73" s="74">
        <f ca="1">'NYC Results'!$G24*'Material %'!R24</f>
        <v>127.18910400000001</v>
      </c>
      <c r="S73" s="74">
        <f ca="1">'NYC Results'!$G24*'Material %'!S24</f>
        <v>0</v>
      </c>
      <c r="T73" s="74">
        <f ca="1">'NYC Results'!$G24*'Material %'!T24</f>
        <v>0</v>
      </c>
      <c r="U73" s="138">
        <f ca="1">+SUM(K73,Q73:T73)</f>
        <v>1816.9872000000003</v>
      </c>
      <c r="W73" s="225"/>
    </row>
    <row r="74" spans="1:23" s="1" customFormat="1" x14ac:dyDescent="0.5">
      <c r="B74" s="14" t="s">
        <v>46</v>
      </c>
      <c r="C74" s="73"/>
      <c r="D74" s="64"/>
      <c r="E74" s="73"/>
      <c r="F74" s="73"/>
      <c r="G74" s="136">
        <f ca="1">'NYC Results'!$G25*'Material %'!G25</f>
        <v>0</v>
      </c>
      <c r="H74" s="74">
        <f ca="1">'NYC Results'!$G25*'Material %'!H25</f>
        <v>0</v>
      </c>
      <c r="I74" s="74">
        <f ca="1">'NYC Results'!$G25*'Material %'!I25</f>
        <v>0</v>
      </c>
      <c r="J74" s="74">
        <f ca="1">'NYC Results'!$G25*'Material %'!J25</f>
        <v>0</v>
      </c>
      <c r="K74" s="137">
        <f t="shared" ca="1" si="42"/>
        <v>0</v>
      </c>
      <c r="L74" s="136">
        <f ca="1">'NYC Results'!$G25*'Material %'!L25</f>
        <v>790.2596880000001</v>
      </c>
      <c r="M74" s="74">
        <f ca="1">'NYC Results'!$G25*'Material %'!M25</f>
        <v>0</v>
      </c>
      <c r="N74" s="74">
        <f ca="1">'NYC Results'!$G25*'Material %'!N25</f>
        <v>0</v>
      </c>
      <c r="O74" s="74">
        <f ca="1">'NYC Results'!$G25*'Material %'!O25</f>
        <v>0</v>
      </c>
      <c r="P74" s="74">
        <f ca="1">'NYC Results'!$G25*'Material %'!P25</f>
        <v>0</v>
      </c>
      <c r="Q74" s="137">
        <f t="shared" ca="1" si="43"/>
        <v>790.2596880000001</v>
      </c>
      <c r="R74" s="74">
        <f ca="1">'NYC Results'!$G25*'Material %'!R25</f>
        <v>59.481912000000008</v>
      </c>
      <c r="S74" s="74">
        <f ca="1">'NYC Results'!$G25*'Material %'!S25</f>
        <v>0</v>
      </c>
      <c r="T74" s="74">
        <f ca="1">'NYC Results'!$G25*'Material %'!T25</f>
        <v>0</v>
      </c>
      <c r="U74" s="138">
        <f ca="1">+SUM(K74,Q74:T74)</f>
        <v>849.74160000000006</v>
      </c>
      <c r="W74" s="225"/>
    </row>
    <row r="75" spans="1:23" s="1" customFormat="1" x14ac:dyDescent="0.5">
      <c r="B75" s="174" t="s">
        <v>8</v>
      </c>
      <c r="C75" s="48"/>
      <c r="D75" s="48"/>
      <c r="E75" s="47"/>
      <c r="F75" s="47"/>
      <c r="G75" s="143">
        <f ca="1">'NYC Results'!$G26*'Material %'!G26</f>
        <v>0</v>
      </c>
      <c r="H75" s="49">
        <f ca="1">'NYC Results'!$G26*'Material %'!H26</f>
        <v>0</v>
      </c>
      <c r="I75" s="49">
        <f ca="1">'NYC Results'!$G26*'Material %'!I26</f>
        <v>2.3443680000000002</v>
      </c>
      <c r="J75" s="49">
        <f ca="1">'NYC Results'!$G26*'Material %'!J26</f>
        <v>0</v>
      </c>
      <c r="K75" s="144">
        <f t="shared" ca="1" si="42"/>
        <v>0</v>
      </c>
      <c r="L75" s="143">
        <f ca="1">'NYC Results'!$G26*'Material %'!L26</f>
        <v>59.781384000000003</v>
      </c>
      <c r="M75" s="49">
        <f ca="1">'NYC Results'!$G26*'Material %'!M26</f>
        <v>164.10576</v>
      </c>
      <c r="N75" s="49">
        <f ca="1">'NYC Results'!$G26*'Material %'!N26</f>
        <v>5.8609200000000001</v>
      </c>
      <c r="O75" s="49">
        <f ca="1">'NYC Results'!$G26*'Material %'!O26</f>
        <v>0</v>
      </c>
      <c r="P75" s="49">
        <f ca="1">'NYC Results'!$G26*'Material %'!P26</f>
        <v>0</v>
      </c>
      <c r="Q75" s="144">
        <f t="shared" ca="1" si="43"/>
        <v>229.748064</v>
      </c>
      <c r="R75" s="49">
        <f ca="1">'NYC Results'!$G26*'Material %'!R26</f>
        <v>2.3443680000000002</v>
      </c>
      <c r="S75" s="49">
        <f ca="1">'NYC Results'!$G26*'Material %'!S26</f>
        <v>0</v>
      </c>
      <c r="T75" s="49">
        <f ca="1">'NYC Results'!$G26*'Material %'!T26</f>
        <v>0</v>
      </c>
      <c r="U75" s="145">
        <f ca="1">+SUM(K75,Q75:T75)</f>
        <v>232.092432</v>
      </c>
      <c r="W75" s="225"/>
    </row>
    <row r="76" spans="1:23" s="43" customFormat="1" x14ac:dyDescent="0.5">
      <c r="B76" s="85" t="s">
        <v>35</v>
      </c>
      <c r="C76" s="75"/>
      <c r="D76" s="175"/>
      <c r="E76" s="175"/>
      <c r="F76" s="175"/>
      <c r="G76" s="151">
        <f ca="1">SUM(G72:G75)</f>
        <v>0</v>
      </c>
      <c r="H76" s="152">
        <f t="shared" ref="H76:U76" ca="1" si="44">SUM(H72:H75)</f>
        <v>0</v>
      </c>
      <c r="I76" s="152">
        <f ca="1">SUM(I72:I75)</f>
        <v>2.3443680000000002</v>
      </c>
      <c r="J76" s="152">
        <f ca="1">SUM(J72:J75)</f>
        <v>0</v>
      </c>
      <c r="K76" s="137">
        <f t="shared" ca="1" si="44"/>
        <v>0</v>
      </c>
      <c r="L76" s="151">
        <f t="shared" ca="1" si="44"/>
        <v>2485.3295520000001</v>
      </c>
      <c r="M76" s="152">
        <f t="shared" ca="1" si="44"/>
        <v>164.10576</v>
      </c>
      <c r="N76" s="152">
        <f t="shared" ca="1" si="44"/>
        <v>492.36297600000006</v>
      </c>
      <c r="O76" s="152">
        <f t="shared" ca="1" si="44"/>
        <v>0</v>
      </c>
      <c r="P76" s="152">
        <f t="shared" ca="1" si="44"/>
        <v>0</v>
      </c>
      <c r="Q76" s="137">
        <f t="shared" ca="1" si="44"/>
        <v>3141.7982880000004</v>
      </c>
      <c r="R76" s="152">
        <f t="shared" ca="1" si="44"/>
        <v>221.53094400000006</v>
      </c>
      <c r="S76" s="152">
        <f t="shared" ca="1" si="44"/>
        <v>0</v>
      </c>
      <c r="T76" s="152">
        <f t="shared" ca="1" si="44"/>
        <v>0</v>
      </c>
      <c r="U76" s="138">
        <f t="shared" ca="1" si="44"/>
        <v>3363.3292320000005</v>
      </c>
      <c r="W76" s="225"/>
    </row>
    <row r="77" spans="1:23" s="1" customFormat="1" ht="7.1" customHeight="1" x14ac:dyDescent="0.5">
      <c r="B77" s="85"/>
      <c r="C77" s="64"/>
      <c r="D77" s="64"/>
      <c r="E77" s="73"/>
      <c r="F77" s="73"/>
      <c r="G77" s="136"/>
      <c r="H77" s="74"/>
      <c r="I77" s="74"/>
      <c r="J77" s="74"/>
      <c r="K77" s="137"/>
      <c r="L77" s="136"/>
      <c r="M77" s="74"/>
      <c r="N77" s="74"/>
      <c r="O77" s="74"/>
      <c r="P77" s="74"/>
      <c r="Q77" s="137"/>
      <c r="R77" s="74"/>
      <c r="S77" s="74"/>
      <c r="T77" s="74"/>
      <c r="U77" s="138"/>
      <c r="W77" s="225"/>
    </row>
    <row r="78" spans="1:23" s="1" customFormat="1" x14ac:dyDescent="0.5">
      <c r="B78" s="84" t="s">
        <v>23</v>
      </c>
      <c r="C78" s="166"/>
      <c r="D78" s="166"/>
      <c r="E78" s="166"/>
      <c r="F78" s="166"/>
      <c r="G78" s="139"/>
      <c r="H78" s="140"/>
      <c r="I78" s="140"/>
      <c r="J78" s="140"/>
      <c r="K78" s="141"/>
      <c r="L78" s="139"/>
      <c r="M78" s="140"/>
      <c r="N78" s="140"/>
      <c r="O78" s="140"/>
      <c r="P78" s="140"/>
      <c r="Q78" s="141"/>
      <c r="R78" s="140"/>
      <c r="S78" s="140"/>
      <c r="T78" s="140"/>
      <c r="U78" s="142"/>
      <c r="W78" s="225"/>
    </row>
    <row r="79" spans="1:23" s="1" customFormat="1" x14ac:dyDescent="0.5">
      <c r="B79" s="14" t="s">
        <v>45</v>
      </c>
      <c r="C79" s="64"/>
      <c r="D79" s="64"/>
      <c r="E79" s="73"/>
      <c r="F79" s="73"/>
      <c r="G79" s="136">
        <f ca="1">'NYC Results'!$G30*'Material %'!G29</f>
        <v>0</v>
      </c>
      <c r="H79" s="74">
        <f ca="1">'NYC Results'!$G30*'Material %'!H29</f>
        <v>490.19160000000005</v>
      </c>
      <c r="I79" s="74">
        <f ca="1">'NYC Results'!$G30*'Material %'!I29</f>
        <v>0</v>
      </c>
      <c r="J79" s="74">
        <f ca="1">'NYC Results'!$G30*'Material %'!J29</f>
        <v>0</v>
      </c>
      <c r="K79" s="137">
        <f t="shared" ref="K79:K80" ca="1" si="45">+G79+H79</f>
        <v>490.19160000000005</v>
      </c>
      <c r="L79" s="136">
        <f ca="1">'NYC Results'!$G30*'Material %'!L29</f>
        <v>0</v>
      </c>
      <c r="M79" s="74">
        <f ca="1">'NYC Results'!$G30*'Material %'!M29</f>
        <v>0</v>
      </c>
      <c r="N79" s="74">
        <f ca="1">'NYC Results'!$G30*'Material %'!N29</f>
        <v>0</v>
      </c>
      <c r="O79" s="74">
        <f ca="1">'NYC Results'!$G30*'Material %'!O29</f>
        <v>0</v>
      </c>
      <c r="P79" s="74">
        <f ca="1">'NYC Results'!$G30*'Material %'!P29</f>
        <v>490.19160000000005</v>
      </c>
      <c r="Q79" s="137">
        <f t="shared" ref="Q79:Q80" ca="1" si="46">SUM(L79:P79)</f>
        <v>490.19160000000005</v>
      </c>
      <c r="R79" s="74">
        <f ca="1">'NYC Results'!$G30*'Material %'!R29</f>
        <v>0</v>
      </c>
      <c r="S79" s="74">
        <f ca="1">'NYC Results'!$G30*'Material %'!S29</f>
        <v>0</v>
      </c>
      <c r="T79" s="74">
        <f ca="1">'NYC Results'!$G30*'Material %'!T29</f>
        <v>0</v>
      </c>
      <c r="U79" s="138">
        <f ca="1">+SUM(K79,Q79:T79)</f>
        <v>980.3832000000001</v>
      </c>
      <c r="W79" s="225"/>
    </row>
    <row r="80" spans="1:23" s="1" customFormat="1" x14ac:dyDescent="0.5">
      <c r="B80" s="174" t="s">
        <v>9</v>
      </c>
      <c r="C80" s="48"/>
      <c r="D80" s="48"/>
      <c r="E80" s="47"/>
      <c r="F80" s="47"/>
      <c r="G80" s="143">
        <f ca="1">'NYC Results'!$G31*'Material %'!G30</f>
        <v>51.612000000000002</v>
      </c>
      <c r="H80" s="49">
        <f ca="1">'NYC Results'!$G31*'Material %'!H30</f>
        <v>0</v>
      </c>
      <c r="I80" s="49">
        <f ca="1">'NYC Results'!$G31*'Material %'!I30</f>
        <v>0</v>
      </c>
      <c r="J80" s="49">
        <f ca="1">'NYC Results'!$G31*'Material %'!J30</f>
        <v>0</v>
      </c>
      <c r="K80" s="144">
        <f t="shared" ca="1" si="45"/>
        <v>51.612000000000002</v>
      </c>
      <c r="L80" s="143">
        <f ca="1">'NYC Results'!$G31*'Material %'!L30</f>
        <v>0</v>
      </c>
      <c r="M80" s="49">
        <f ca="1">'NYC Results'!$G31*'Material %'!M30</f>
        <v>0</v>
      </c>
      <c r="N80" s="49">
        <f ca="1">'NYC Results'!$G31*'Material %'!N30</f>
        <v>0</v>
      </c>
      <c r="O80" s="49">
        <f ca="1">'NYC Results'!$G31*'Material %'!O30</f>
        <v>0</v>
      </c>
      <c r="P80" s="49">
        <f ca="1">'NYC Results'!$G31*'Material %'!P30</f>
        <v>0</v>
      </c>
      <c r="Q80" s="144">
        <f t="shared" ca="1" si="46"/>
        <v>0</v>
      </c>
      <c r="R80" s="49">
        <f ca="1">'NYC Results'!$G31*'Material %'!R30</f>
        <v>0</v>
      </c>
      <c r="S80" s="49">
        <f ca="1">'NYC Results'!$G31*'Material %'!S30</f>
        <v>0</v>
      </c>
      <c r="T80" s="49">
        <f ca="1">'NYC Results'!$G31*'Material %'!T30</f>
        <v>0</v>
      </c>
      <c r="U80" s="145">
        <f ca="1">+SUM(K80,Q80:T80)</f>
        <v>51.612000000000002</v>
      </c>
      <c r="W80" s="225"/>
    </row>
    <row r="81" spans="2:23" s="43" customFormat="1" x14ac:dyDescent="0.5">
      <c r="B81" s="85" t="s">
        <v>36</v>
      </c>
      <c r="C81" s="175"/>
      <c r="D81" s="175"/>
      <c r="E81" s="75"/>
      <c r="F81" s="75"/>
      <c r="G81" s="151">
        <f ca="1">SUM(G79:G80)</f>
        <v>51.612000000000002</v>
      </c>
      <c r="H81" s="152">
        <f t="shared" ref="H81:N81" ca="1" si="47">SUM(H79:H80)</f>
        <v>490.19160000000005</v>
      </c>
      <c r="I81" s="152">
        <f ca="1">SUM(I79:I80)</f>
        <v>0</v>
      </c>
      <c r="J81" s="152">
        <f ca="1">SUM(J79:J80)</f>
        <v>0</v>
      </c>
      <c r="K81" s="137">
        <f t="shared" ca="1" si="47"/>
        <v>541.80360000000007</v>
      </c>
      <c r="L81" s="151">
        <f t="shared" ca="1" si="47"/>
        <v>0</v>
      </c>
      <c r="M81" s="152">
        <f t="shared" ca="1" si="47"/>
        <v>0</v>
      </c>
      <c r="N81" s="152">
        <f t="shared" ca="1" si="47"/>
        <v>0</v>
      </c>
      <c r="O81" s="152">
        <f ca="1">SUM(O79:O80)</f>
        <v>0</v>
      </c>
      <c r="P81" s="152">
        <f t="shared" ref="P81:U81" ca="1" si="48">SUM(P79:P80)</f>
        <v>490.19160000000005</v>
      </c>
      <c r="Q81" s="137">
        <f t="shared" ca="1" si="48"/>
        <v>490.19160000000005</v>
      </c>
      <c r="R81" s="152">
        <f t="shared" ca="1" si="48"/>
        <v>0</v>
      </c>
      <c r="S81" s="152">
        <f t="shared" ca="1" si="48"/>
        <v>0</v>
      </c>
      <c r="T81" s="152">
        <f t="shared" ca="1" si="48"/>
        <v>0</v>
      </c>
      <c r="U81" s="138">
        <f t="shared" ca="1" si="48"/>
        <v>1031.9952000000001</v>
      </c>
      <c r="W81" s="225"/>
    </row>
    <row r="82" spans="2:23" s="1" customFormat="1" ht="7.1" customHeight="1" x14ac:dyDescent="0.5">
      <c r="B82" s="85"/>
      <c r="C82" s="64"/>
      <c r="D82" s="64"/>
      <c r="E82" s="64"/>
      <c r="F82" s="64"/>
      <c r="G82" s="136"/>
      <c r="H82" s="74"/>
      <c r="I82" s="74"/>
      <c r="J82" s="74"/>
      <c r="K82" s="137"/>
      <c r="L82" s="136"/>
      <c r="M82" s="74"/>
      <c r="N82" s="74"/>
      <c r="O82" s="74"/>
      <c r="P82" s="74"/>
      <c r="Q82" s="137"/>
      <c r="R82" s="74"/>
      <c r="S82" s="74"/>
      <c r="T82" s="74"/>
      <c r="U82" s="138"/>
      <c r="W82" s="225"/>
    </row>
    <row r="83" spans="2:23" s="1" customFormat="1" x14ac:dyDescent="0.5">
      <c r="B83" s="84" t="s">
        <v>10</v>
      </c>
      <c r="C83" s="166"/>
      <c r="D83" s="166"/>
      <c r="E83" s="166"/>
      <c r="F83" s="166"/>
      <c r="G83" s="139"/>
      <c r="H83" s="140"/>
      <c r="I83" s="140"/>
      <c r="J83" s="140"/>
      <c r="K83" s="141"/>
      <c r="L83" s="139"/>
      <c r="M83" s="140"/>
      <c r="N83" s="140"/>
      <c r="O83" s="140"/>
      <c r="P83" s="140"/>
      <c r="Q83" s="141"/>
      <c r="R83" s="140"/>
      <c r="S83" s="140"/>
      <c r="T83" s="140"/>
      <c r="U83" s="142"/>
      <c r="W83" s="225"/>
    </row>
    <row r="84" spans="2:23" s="1" customFormat="1" x14ac:dyDescent="0.5">
      <c r="B84" s="14" t="s">
        <v>49</v>
      </c>
      <c r="C84" s="64"/>
      <c r="D84" s="64"/>
      <c r="E84" s="64"/>
      <c r="F84" s="64"/>
      <c r="G84" s="136">
        <f ca="1">'NYC Results'!$G35*'Material %'!G33</f>
        <v>566.97638400000005</v>
      </c>
      <c r="H84" s="74">
        <f ca="1">'NYC Results'!$G35*'Material %'!H33</f>
        <v>0</v>
      </c>
      <c r="I84" s="74">
        <f ca="1">'NYC Results'!$G35*'Material %'!I33</f>
        <v>0</v>
      </c>
      <c r="J84" s="74">
        <f ca="1">'NYC Results'!$G35*'Material %'!J33</f>
        <v>0</v>
      </c>
      <c r="K84" s="137">
        <f t="shared" ref="K84:K85" ca="1" si="49">+G84+H84</f>
        <v>566.97638400000005</v>
      </c>
      <c r="L84" s="136">
        <f ca="1">'NYC Results'!$G35*'Material %'!L33</f>
        <v>0</v>
      </c>
      <c r="M84" s="74">
        <f ca="1">'NYC Results'!$G35*'Material %'!M33</f>
        <v>0</v>
      </c>
      <c r="N84" s="74">
        <f ca="1">'NYC Results'!$G35*'Material %'!N33</f>
        <v>0</v>
      </c>
      <c r="O84" s="74">
        <f ca="1">'NYC Results'!$G35*'Material %'!O33</f>
        <v>159.91641600000003</v>
      </c>
      <c r="P84" s="74">
        <f ca="1">'NYC Results'!$G35*'Material %'!P33</f>
        <v>0</v>
      </c>
      <c r="Q84" s="137">
        <f t="shared" ref="Q84:Q85" ca="1" si="50">SUM(L84:P84)</f>
        <v>159.91641600000003</v>
      </c>
      <c r="R84" s="74">
        <f ca="1">'NYC Results'!$G35*'Material %'!R33</f>
        <v>0</v>
      </c>
      <c r="S84" s="74">
        <f ca="1">'NYC Results'!$G35*'Material %'!S33</f>
        <v>0</v>
      </c>
      <c r="T84" s="74">
        <f ca="1">'NYC Results'!$G35*'Material %'!T33</f>
        <v>0</v>
      </c>
      <c r="U84" s="138">
        <f ca="1">+SUM(K84,Q84:T84)</f>
        <v>726.89280000000008</v>
      </c>
      <c r="W84" s="225"/>
    </row>
    <row r="85" spans="2:23" s="1" customFormat="1" x14ac:dyDescent="0.5">
      <c r="B85" s="174" t="s">
        <v>50</v>
      </c>
      <c r="C85" s="48"/>
      <c r="D85" s="48"/>
      <c r="E85" s="48"/>
      <c r="F85" s="48"/>
      <c r="G85" s="143">
        <f ca="1">'NYC Results'!$G36*'Material %'!G34</f>
        <v>1000.3556160000001</v>
      </c>
      <c r="H85" s="49">
        <f ca="1">'NYC Results'!$G36*'Material %'!H34</f>
        <v>0</v>
      </c>
      <c r="I85" s="49">
        <f ca="1">'NYC Results'!$G36*'Material %'!I34</f>
        <v>0</v>
      </c>
      <c r="J85" s="49">
        <f ca="1">'NYC Results'!$G36*'Material %'!J34</f>
        <v>0</v>
      </c>
      <c r="K85" s="144">
        <f t="shared" ca="1" si="49"/>
        <v>1000.3556160000001</v>
      </c>
      <c r="L85" s="143">
        <f ca="1">'NYC Results'!$G36*'Material %'!L34</f>
        <v>448.87751999999995</v>
      </c>
      <c r="M85" s="49">
        <f ca="1">'NYC Results'!$G36*'Material %'!M34</f>
        <v>448.87751999999995</v>
      </c>
      <c r="N85" s="49">
        <f ca="1">'NYC Results'!$G36*'Material %'!N34</f>
        <v>25.650144000000001</v>
      </c>
      <c r="O85" s="49">
        <f ca="1">'NYC Results'!$G36*'Material %'!O34</f>
        <v>564.30316800000003</v>
      </c>
      <c r="P85" s="49">
        <f ca="1">'NYC Results'!$G36*'Material %'!P34</f>
        <v>0</v>
      </c>
      <c r="Q85" s="144">
        <f t="shared" ca="1" si="50"/>
        <v>1487.7083519999999</v>
      </c>
      <c r="R85" s="49">
        <f ca="1">'NYC Results'!$G36*'Material %'!R34</f>
        <v>76.950431999999992</v>
      </c>
      <c r="S85" s="49">
        <f ca="1">'NYC Results'!$G36*'Material %'!S34</f>
        <v>0</v>
      </c>
      <c r="T85" s="49">
        <f ca="1">'NYC Results'!$G36*'Material %'!T34</f>
        <v>0</v>
      </c>
      <c r="U85" s="145">
        <f ca="1">+SUM(K85,Q85:T85)</f>
        <v>2565.0144</v>
      </c>
      <c r="W85" s="225"/>
    </row>
    <row r="86" spans="2:23" s="43" customFormat="1" x14ac:dyDescent="0.5">
      <c r="B86" s="176" t="s">
        <v>57</v>
      </c>
      <c r="C86" s="175"/>
      <c r="D86" s="175"/>
      <c r="E86" s="175"/>
      <c r="F86" s="175"/>
      <c r="G86" s="151">
        <f ca="1">SUM(G84:G85)</f>
        <v>1567.3320000000001</v>
      </c>
      <c r="H86" s="152">
        <f t="shared" ref="H86:N86" ca="1" si="51">SUM(H84:H85)</f>
        <v>0</v>
      </c>
      <c r="I86" s="152">
        <f ca="1">SUM(I84:I85)</f>
        <v>0</v>
      </c>
      <c r="J86" s="152">
        <f ca="1">SUM(J84:J85)</f>
        <v>0</v>
      </c>
      <c r="K86" s="137">
        <f t="shared" ca="1" si="51"/>
        <v>1567.3320000000001</v>
      </c>
      <c r="L86" s="151">
        <f t="shared" ca="1" si="51"/>
        <v>448.87751999999995</v>
      </c>
      <c r="M86" s="152">
        <f t="shared" ca="1" si="51"/>
        <v>448.87751999999995</v>
      </c>
      <c r="N86" s="152">
        <f t="shared" ca="1" si="51"/>
        <v>25.650144000000001</v>
      </c>
      <c r="O86" s="152">
        <f ca="1">SUM(O84:O85)</f>
        <v>724.21958400000005</v>
      </c>
      <c r="P86" s="152">
        <f t="shared" ref="P86:T86" ca="1" si="52">SUM(P84:P85)</f>
        <v>0</v>
      </c>
      <c r="Q86" s="137">
        <f t="shared" ca="1" si="52"/>
        <v>1647.6247679999999</v>
      </c>
      <c r="R86" s="152">
        <f t="shared" ca="1" si="52"/>
        <v>76.950431999999992</v>
      </c>
      <c r="S86" s="152">
        <f t="shared" ca="1" si="52"/>
        <v>0</v>
      </c>
      <c r="T86" s="152">
        <f t="shared" ca="1" si="52"/>
        <v>0</v>
      </c>
      <c r="U86" s="138">
        <f ca="1">+SUM(K86,Q86:T86)</f>
        <v>3291.9072000000001</v>
      </c>
      <c r="W86" s="225"/>
    </row>
    <row r="87" spans="2:23" s="1" customFormat="1" ht="7.1" customHeight="1" x14ac:dyDescent="0.5">
      <c r="B87" s="85"/>
      <c r="C87" s="64"/>
      <c r="D87" s="64"/>
      <c r="E87" s="64"/>
      <c r="F87" s="64"/>
      <c r="G87" s="136"/>
      <c r="H87" s="74"/>
      <c r="I87" s="74"/>
      <c r="J87" s="74"/>
      <c r="K87" s="137"/>
      <c r="L87" s="136"/>
      <c r="M87" s="74"/>
      <c r="N87" s="74"/>
      <c r="O87" s="74"/>
      <c r="P87" s="74"/>
      <c r="Q87" s="137"/>
      <c r="R87" s="74"/>
      <c r="S87" s="74"/>
      <c r="T87" s="74"/>
      <c r="U87" s="138"/>
      <c r="W87" s="225"/>
    </row>
    <row r="88" spans="2:23" s="1" customFormat="1" x14ac:dyDescent="0.5">
      <c r="B88" s="84" t="s">
        <v>24</v>
      </c>
      <c r="C88" s="166"/>
      <c r="D88" s="166"/>
      <c r="E88" s="166"/>
      <c r="F88" s="166"/>
      <c r="G88" s="139"/>
      <c r="H88" s="140"/>
      <c r="I88" s="140"/>
      <c r="J88" s="140"/>
      <c r="K88" s="141"/>
      <c r="L88" s="139"/>
      <c r="M88" s="140"/>
      <c r="N88" s="140"/>
      <c r="O88" s="140"/>
      <c r="P88" s="140"/>
      <c r="Q88" s="141"/>
      <c r="R88" s="140"/>
      <c r="S88" s="140"/>
      <c r="T88" s="140"/>
      <c r="U88" s="142"/>
      <c r="W88" s="225"/>
    </row>
    <row r="89" spans="2:23" s="1" customFormat="1" x14ac:dyDescent="0.5">
      <c r="B89" s="14" t="s">
        <v>12</v>
      </c>
      <c r="C89" s="64"/>
      <c r="D89" s="64"/>
      <c r="E89" s="64"/>
      <c r="F89" s="64"/>
      <c r="G89" s="136"/>
      <c r="H89" s="74"/>
      <c r="I89" s="74"/>
      <c r="J89" s="74"/>
      <c r="K89" s="137"/>
      <c r="L89" s="136"/>
      <c r="M89" s="74"/>
      <c r="N89" s="74"/>
      <c r="O89" s="74"/>
      <c r="P89" s="74"/>
      <c r="Q89" s="137"/>
      <c r="R89" s="74"/>
      <c r="S89" s="74"/>
      <c r="T89" s="74"/>
      <c r="U89" s="138"/>
      <c r="W89" s="225"/>
    </row>
    <row r="90" spans="2:23" s="1" customFormat="1" x14ac:dyDescent="0.5">
      <c r="B90" s="85"/>
      <c r="C90" s="73" t="s">
        <v>13</v>
      </c>
      <c r="D90" s="73"/>
      <c r="E90" s="73"/>
      <c r="F90" s="73"/>
      <c r="G90" s="136">
        <f ca="1">'NYC Results'!$G41*'Material %'!G38</f>
        <v>107.70180000000001</v>
      </c>
      <c r="H90" s="74">
        <f ca="1">'NYC Results'!$G41*'Material %'!H38</f>
        <v>0</v>
      </c>
      <c r="I90" s="74">
        <f ca="1">'NYC Results'!$G41*'Material %'!I38</f>
        <v>107.70180000000001</v>
      </c>
      <c r="J90" s="74">
        <f ca="1">'NYC Results'!$G41*'Material %'!J38</f>
        <v>107.70180000000001</v>
      </c>
      <c r="K90" s="137">
        <f ca="1">+G90+H90</f>
        <v>107.70180000000001</v>
      </c>
      <c r="L90" s="136">
        <f ca="1">'NYC Results'!$G41*'Material %'!L38</f>
        <v>0</v>
      </c>
      <c r="M90" s="74">
        <f ca="1">'NYC Results'!$G41*'Material %'!M38</f>
        <v>0</v>
      </c>
      <c r="N90" s="74">
        <f ca="1">'NYC Results'!$G41*'Material %'!N38</f>
        <v>0</v>
      </c>
      <c r="O90" s="74">
        <f ca="1">'NYC Results'!$G41*'Material %'!O38</f>
        <v>107.70180000000001</v>
      </c>
      <c r="P90" s="74">
        <f ca="1">'NYC Results'!$G41*'Material %'!P38</f>
        <v>0</v>
      </c>
      <c r="Q90" s="137">
        <f ca="1">SUM(L90:P90)</f>
        <v>107.70180000000001</v>
      </c>
      <c r="R90" s="74">
        <f ca="1">'NYC Results'!$G41*'Material %'!R38</f>
        <v>0</v>
      </c>
      <c r="S90" s="74">
        <f ca="1">'NYC Results'!$G41*'Material %'!S38</f>
        <v>0</v>
      </c>
      <c r="T90" s="74">
        <f ca="1">'NYC Results'!$G41*'Material %'!T38</f>
        <v>0</v>
      </c>
      <c r="U90" s="138">
        <f ca="1">+SUM(K90,Q90:T90)</f>
        <v>215.40360000000001</v>
      </c>
      <c r="W90" s="225"/>
    </row>
    <row r="91" spans="2:23" s="1" customFormat="1" x14ac:dyDescent="0.5">
      <c r="B91" s="13" t="s">
        <v>14</v>
      </c>
      <c r="C91" s="64"/>
      <c r="D91" s="64"/>
      <c r="E91" s="64"/>
      <c r="F91" s="64"/>
      <c r="G91" s="136"/>
      <c r="H91" s="74"/>
      <c r="I91" s="74"/>
      <c r="J91" s="74"/>
      <c r="K91" s="137"/>
      <c r="L91" s="136"/>
      <c r="M91" s="74"/>
      <c r="N91" s="74"/>
      <c r="O91" s="74"/>
      <c r="P91" s="74"/>
      <c r="Q91" s="137"/>
      <c r="R91" s="74"/>
      <c r="S91" s="74"/>
      <c r="T91" s="74"/>
      <c r="U91" s="138"/>
      <c r="W91" s="225"/>
    </row>
    <row r="92" spans="2:23" s="1" customFormat="1" x14ac:dyDescent="0.5">
      <c r="B92" s="13"/>
      <c r="C92" s="73" t="s">
        <v>15</v>
      </c>
      <c r="D92" s="64"/>
      <c r="E92" s="64"/>
      <c r="F92" s="64"/>
      <c r="G92" s="136">
        <f ca="1">'NYC Results'!$G43*'Material %'!G40</f>
        <v>0</v>
      </c>
      <c r="H92" s="74">
        <f ca="1">'NYC Results'!$G43*'Material %'!H40</f>
        <v>0</v>
      </c>
      <c r="I92" s="74">
        <f ca="1">'NYC Results'!$G43*'Material %'!I40</f>
        <v>0</v>
      </c>
      <c r="J92" s="74">
        <f ca="1">'NYC Results'!$G43*'Material %'!J40</f>
        <v>0</v>
      </c>
      <c r="K92" s="137">
        <f t="shared" ref="K92:K95" ca="1" si="53">+G92+H92</f>
        <v>0</v>
      </c>
      <c r="L92" s="136">
        <f ca="1">'NYC Results'!$G43*'Material %'!L40</f>
        <v>0</v>
      </c>
      <c r="M92" s="74">
        <f ca="1">'NYC Results'!$G43*'Material %'!M40</f>
        <v>785.02341600000022</v>
      </c>
      <c r="N92" s="74">
        <f ca="1">'NYC Results'!$G43*'Material %'!N40</f>
        <v>785.02341600000022</v>
      </c>
      <c r="O92" s="74">
        <f ca="1">'NYC Results'!$G43*'Material %'!O40</f>
        <v>0</v>
      </c>
      <c r="P92" s="74">
        <f ca="1">'NYC Results'!$G43*'Material %'!P40</f>
        <v>0</v>
      </c>
      <c r="Q92" s="137">
        <f t="shared" ref="Q92:Q95" ca="1" si="54">SUM(L92:P92)</f>
        <v>1570.0468320000004</v>
      </c>
      <c r="R92" s="74">
        <f ca="1">'NYC Results'!$G43*'Material %'!R40</f>
        <v>118.17556800000004</v>
      </c>
      <c r="S92" s="74">
        <f ca="1">'NYC Results'!$G43*'Material %'!S40</f>
        <v>0</v>
      </c>
      <c r="T92" s="74">
        <f ca="1">'NYC Results'!$G43*'Material %'!T40</f>
        <v>0</v>
      </c>
      <c r="U92" s="138">
        <f ca="1">+SUM(K92,Q92:T92)</f>
        <v>1688.2224000000006</v>
      </c>
      <c r="W92" s="225"/>
    </row>
    <row r="93" spans="2:23" s="1" customFormat="1" x14ac:dyDescent="0.5">
      <c r="B93" s="13"/>
      <c r="C93" s="73" t="s">
        <v>16</v>
      </c>
      <c r="D93" s="64"/>
      <c r="E93" s="64"/>
      <c r="F93" s="64"/>
      <c r="G93" s="136">
        <f ca="1">'NYC Results'!$G44*'Material %'!G41</f>
        <v>18.510824980780868</v>
      </c>
      <c r="H93" s="74">
        <f ca="1">'NYC Results'!$G44*'Material %'!H41</f>
        <v>18.510824980780868</v>
      </c>
      <c r="I93" s="74">
        <f ca="1">'NYC Results'!$G44*'Material %'!I41</f>
        <v>0</v>
      </c>
      <c r="J93" s="74">
        <f ca="1">'NYC Results'!$G44*'Material %'!J41</f>
        <v>0</v>
      </c>
      <c r="K93" s="137">
        <f t="shared" ca="1" si="53"/>
        <v>37.021649961561735</v>
      </c>
      <c r="L93" s="136">
        <f ca="1">'NYC Results'!$G44*'Material %'!L41</f>
        <v>0</v>
      </c>
      <c r="M93" s="74">
        <f ca="1">'NYC Results'!$G44*'Material %'!M41</f>
        <v>364.92769247825129</v>
      </c>
      <c r="N93" s="74">
        <f ca="1">'NYC Results'!$G44*'Material %'!N41</f>
        <v>0</v>
      </c>
      <c r="O93" s="74">
        <f ca="1">'NYC Results'!$G44*'Material %'!O41</f>
        <v>0</v>
      </c>
      <c r="P93" s="74">
        <f ca="1">'NYC Results'!$G44*'Material %'!P41</f>
        <v>0</v>
      </c>
      <c r="Q93" s="137">
        <f t="shared" ca="1" si="54"/>
        <v>364.92769247825129</v>
      </c>
      <c r="R93" s="74">
        <f ca="1">'NYC Results'!$G44*'Material %'!R41</f>
        <v>126.93137129678307</v>
      </c>
      <c r="S93" s="74">
        <f ca="1">'NYC Results'!$G44*'Material %'!S41</f>
        <v>0</v>
      </c>
      <c r="T93" s="74">
        <f ca="1">'NYC Results'!$G44*'Material %'!T41</f>
        <v>0</v>
      </c>
      <c r="U93" s="138">
        <f ca="1">+SUM(K93,Q93:T93)</f>
        <v>528.88071373659602</v>
      </c>
      <c r="W93" s="225"/>
    </row>
    <row r="94" spans="2:23" s="1" customFormat="1" x14ac:dyDescent="0.5">
      <c r="B94" s="13"/>
      <c r="C94" s="73" t="s">
        <v>17</v>
      </c>
      <c r="D94" s="64"/>
      <c r="E94" s="64"/>
      <c r="F94" s="64"/>
      <c r="G94" s="136">
        <f ca="1">'NYC Results'!$G45*'Material %'!G42</f>
        <v>0</v>
      </c>
      <c r="H94" s="74">
        <f ca="1">'NYC Results'!$G45*'Material %'!H42</f>
        <v>0</v>
      </c>
      <c r="I94" s="74">
        <f ca="1">'NYC Results'!$G45*'Material %'!I42</f>
        <v>0</v>
      </c>
      <c r="J94" s="74">
        <f ca="1">'NYC Results'!$G45*'Material %'!J42</f>
        <v>0</v>
      </c>
      <c r="K94" s="137">
        <f t="shared" ca="1" si="53"/>
        <v>0</v>
      </c>
      <c r="L94" s="136">
        <f ca="1">'NYC Results'!$G45*'Material %'!L42</f>
        <v>0</v>
      </c>
      <c r="M94" s="74">
        <f ca="1">'NYC Results'!$G45*'Material %'!M42</f>
        <v>20.542185428703256</v>
      </c>
      <c r="N94" s="74">
        <f ca="1">'NYC Results'!$G45*'Material %'!N42</f>
        <v>0</v>
      </c>
      <c r="O94" s="74">
        <f ca="1">'NYC Results'!$G45*'Material %'!O42</f>
        <v>0</v>
      </c>
      <c r="P94" s="74">
        <f ca="1">'NYC Results'!$G45*'Material %'!P42</f>
        <v>0</v>
      </c>
      <c r="Q94" s="137">
        <f t="shared" ca="1" si="54"/>
        <v>20.542185428703256</v>
      </c>
      <c r="R94" s="74">
        <f ca="1">'NYC Results'!$G45*'Material %'!R42</f>
        <v>0</v>
      </c>
      <c r="S94" s="74">
        <f ca="1">'NYC Results'!$G45*'Material %'!S42</f>
        <v>0</v>
      </c>
      <c r="T94" s="74">
        <f ca="1">'NYC Results'!$G45*'Material %'!T42</f>
        <v>20.542185428703256</v>
      </c>
      <c r="U94" s="138">
        <f ca="1">+SUM(K94,Q94:T94)</f>
        <v>41.084370857406512</v>
      </c>
      <c r="W94" s="225"/>
    </row>
    <row r="95" spans="2:23" s="1" customFormat="1" x14ac:dyDescent="0.5">
      <c r="B95" s="177"/>
      <c r="C95" s="47" t="s">
        <v>18</v>
      </c>
      <c r="D95" s="48"/>
      <c r="E95" s="48"/>
      <c r="F95" s="48"/>
      <c r="G95" s="143">
        <f ca="1">'NYC Results'!$G46*'Material %'!G43</f>
        <v>0</v>
      </c>
      <c r="H95" s="49">
        <f ca="1">'NYC Results'!$G46*'Material %'!H43</f>
        <v>0</v>
      </c>
      <c r="I95" s="49">
        <f ca="1">'NYC Results'!$G46*'Material %'!I43</f>
        <v>0</v>
      </c>
      <c r="J95" s="49">
        <f ca="1">'NYC Results'!$G46*'Material %'!J43</f>
        <v>0</v>
      </c>
      <c r="K95" s="144">
        <f t="shared" ca="1" si="53"/>
        <v>0</v>
      </c>
      <c r="L95" s="143">
        <f ca="1">'NYC Results'!$G46*'Material %'!L43</f>
        <v>0</v>
      </c>
      <c r="M95" s="49">
        <f ca="1">'NYC Results'!$G46*'Material %'!M43</f>
        <v>0</v>
      </c>
      <c r="N95" s="49">
        <f ca="1">'NYC Results'!$G46*'Material %'!N43</f>
        <v>0</v>
      </c>
      <c r="O95" s="49">
        <f ca="1">'NYC Results'!$G46*'Material %'!O43</f>
        <v>0</v>
      </c>
      <c r="P95" s="49">
        <f ca="1">'NYC Results'!$G46*'Material %'!P43</f>
        <v>0</v>
      </c>
      <c r="Q95" s="144">
        <f t="shared" ca="1" si="54"/>
        <v>0</v>
      </c>
      <c r="R95" s="49">
        <f ca="1">'NYC Results'!$G46*'Material %'!R43</f>
        <v>0</v>
      </c>
      <c r="S95" s="49">
        <f ca="1">'NYC Results'!$G46*'Material %'!S43</f>
        <v>0</v>
      </c>
      <c r="T95" s="49">
        <f ca="1">'NYC Results'!$G46*'Material %'!T43</f>
        <v>24.449864085969146</v>
      </c>
      <c r="U95" s="145">
        <f ca="1">+SUM(K95,Q95:T95)</f>
        <v>24.449864085969146</v>
      </c>
      <c r="W95" s="225"/>
    </row>
    <row r="96" spans="2:23" s="43" customFormat="1" x14ac:dyDescent="0.5">
      <c r="B96" s="85" t="s">
        <v>37</v>
      </c>
      <c r="C96" s="75"/>
      <c r="D96" s="175"/>
      <c r="E96" s="175"/>
      <c r="F96" s="175"/>
      <c r="G96" s="151">
        <f ca="1">+SUM(G90,G92:G95)</f>
        <v>126.21262498078087</v>
      </c>
      <c r="H96" s="152">
        <f t="shared" ref="H96:T96" ca="1" si="55">+SUM(H90,H92:H95)</f>
        <v>18.510824980780868</v>
      </c>
      <c r="I96" s="152">
        <f ca="1">+SUM(I90,I92:I95)</f>
        <v>107.70180000000001</v>
      </c>
      <c r="J96" s="152">
        <f ca="1">+SUM(J90,J92:J95)</f>
        <v>107.70180000000001</v>
      </c>
      <c r="K96" s="137">
        <f t="shared" ca="1" si="55"/>
        <v>144.72344996156176</v>
      </c>
      <c r="L96" s="151">
        <f t="shared" ca="1" si="55"/>
        <v>0</v>
      </c>
      <c r="M96" s="152">
        <f t="shared" ca="1" si="55"/>
        <v>1170.4932939069549</v>
      </c>
      <c r="N96" s="152">
        <f t="shared" ca="1" si="55"/>
        <v>785.02341600000022</v>
      </c>
      <c r="O96" s="152">
        <f t="shared" ca="1" si="55"/>
        <v>107.70180000000001</v>
      </c>
      <c r="P96" s="152">
        <f t="shared" ca="1" si="55"/>
        <v>0</v>
      </c>
      <c r="Q96" s="137">
        <f t="shared" ca="1" si="55"/>
        <v>2063.2185099069552</v>
      </c>
      <c r="R96" s="152">
        <f t="shared" ca="1" si="55"/>
        <v>245.10693929678311</v>
      </c>
      <c r="S96" s="152">
        <f t="shared" ca="1" si="55"/>
        <v>0</v>
      </c>
      <c r="T96" s="152">
        <f t="shared" ca="1" si="55"/>
        <v>44.992049514672402</v>
      </c>
      <c r="U96" s="138">
        <f ca="1">+SUM(K96,Q96:T96)</f>
        <v>2498.0409486799726</v>
      </c>
      <c r="W96" s="225"/>
    </row>
    <row r="97" spans="2:23" s="1" customFormat="1" ht="7.1" customHeight="1" x14ac:dyDescent="0.5">
      <c r="B97" s="85"/>
      <c r="C97" s="64"/>
      <c r="D97" s="64"/>
      <c r="E97" s="64"/>
      <c r="F97" s="64"/>
      <c r="G97" s="136"/>
      <c r="H97" s="74"/>
      <c r="I97" s="74"/>
      <c r="J97" s="74"/>
      <c r="K97" s="137"/>
      <c r="L97" s="136"/>
      <c r="M97" s="74"/>
      <c r="N97" s="74"/>
      <c r="O97" s="74"/>
      <c r="P97" s="74"/>
      <c r="Q97" s="137"/>
      <c r="R97" s="74"/>
      <c r="S97" s="74"/>
      <c r="T97" s="74"/>
      <c r="U97" s="138"/>
      <c r="W97" s="225"/>
    </row>
    <row r="98" spans="2:23" s="1" customFormat="1" x14ac:dyDescent="0.5">
      <c r="B98" s="86" t="s">
        <v>19</v>
      </c>
      <c r="C98" s="166"/>
      <c r="D98" s="166"/>
      <c r="E98" s="167"/>
      <c r="F98" s="167"/>
      <c r="G98" s="139"/>
      <c r="H98" s="140"/>
      <c r="I98" s="140"/>
      <c r="J98" s="140"/>
      <c r="K98" s="141"/>
      <c r="L98" s="139"/>
      <c r="M98" s="140"/>
      <c r="N98" s="140"/>
      <c r="O98" s="140"/>
      <c r="P98" s="140"/>
      <c r="Q98" s="141"/>
      <c r="R98" s="140"/>
      <c r="S98" s="140"/>
      <c r="T98" s="140"/>
      <c r="U98" s="142"/>
      <c r="W98" s="225"/>
    </row>
    <row r="99" spans="2:23" s="1" customFormat="1" x14ac:dyDescent="0.5">
      <c r="B99" s="14" t="s">
        <v>19</v>
      </c>
      <c r="C99" s="64"/>
      <c r="D99" s="64"/>
      <c r="E99" s="73"/>
      <c r="F99" s="73"/>
      <c r="G99" s="136">
        <f ca="1">'NYC Results'!$G50*'Material %'!G46</f>
        <v>0</v>
      </c>
      <c r="H99" s="74">
        <f ca="1">'NYC Results'!$G50*'Material %'!H46</f>
        <v>9553.1568000000007</v>
      </c>
      <c r="I99" s="74">
        <f ca="1">'NYC Results'!$G50*'Material %'!I46</f>
        <v>0</v>
      </c>
      <c r="J99" s="74">
        <f ca="1">'NYC Results'!$G50*'Material %'!J46</f>
        <v>0</v>
      </c>
      <c r="K99" s="137">
        <f ca="1">+G99+H99</f>
        <v>9553.1568000000007</v>
      </c>
      <c r="L99" s="136">
        <f ca="1">'NYC Results'!$G50*'Material %'!L46</f>
        <v>0</v>
      </c>
      <c r="M99" s="74">
        <f ca="1">'NYC Results'!$G50*'Material %'!M46</f>
        <v>0</v>
      </c>
      <c r="N99" s="74">
        <f ca="1">'NYC Results'!$G50*'Material %'!N46</f>
        <v>0</v>
      </c>
      <c r="O99" s="74">
        <f ca="1">'NYC Results'!$G50*'Material %'!O46</f>
        <v>0</v>
      </c>
      <c r="P99" s="74">
        <f ca="1">'NYC Results'!$G50*'Material %'!P46</f>
        <v>0</v>
      </c>
      <c r="Q99" s="137">
        <f ca="1">SUM(L99:P99)</f>
        <v>0</v>
      </c>
      <c r="R99" s="74">
        <f ca="1">'NYC Results'!$G50*'Material %'!R46</f>
        <v>0</v>
      </c>
      <c r="S99" s="74">
        <f ca="1">'NYC Results'!$G50*'Material %'!S46</f>
        <v>0</v>
      </c>
      <c r="T99" s="74">
        <f ca="1">'NYC Results'!$G50*'Material %'!T46</f>
        <v>0</v>
      </c>
      <c r="U99" s="138">
        <f ca="1">+SUM(K99,Q99:T99)</f>
        <v>9553.1568000000007</v>
      </c>
      <c r="W99" s="225"/>
    </row>
    <row r="100" spans="2:23" s="1" customFormat="1" ht="7.1" customHeight="1" x14ac:dyDescent="0.5">
      <c r="B100" s="14"/>
      <c r="C100" s="64"/>
      <c r="D100" s="64"/>
      <c r="E100" s="73"/>
      <c r="F100" s="73"/>
      <c r="G100" s="136"/>
      <c r="H100" s="74"/>
      <c r="I100" s="74"/>
      <c r="J100" s="74"/>
      <c r="K100" s="137"/>
      <c r="L100" s="136"/>
      <c r="M100" s="74"/>
      <c r="N100" s="74"/>
      <c r="O100" s="74"/>
      <c r="P100" s="74"/>
      <c r="Q100" s="137"/>
      <c r="R100" s="74"/>
      <c r="S100" s="74"/>
      <c r="T100" s="74"/>
      <c r="U100" s="138"/>
      <c r="W100" s="225"/>
    </row>
    <row r="101" spans="2:23" s="1" customFormat="1" x14ac:dyDescent="0.5">
      <c r="B101" s="86" t="s">
        <v>25</v>
      </c>
      <c r="C101" s="166"/>
      <c r="D101" s="166"/>
      <c r="E101" s="166"/>
      <c r="F101" s="166"/>
      <c r="G101" s="139"/>
      <c r="H101" s="140"/>
      <c r="I101" s="140"/>
      <c r="J101" s="140"/>
      <c r="K101" s="141"/>
      <c r="L101" s="139"/>
      <c r="M101" s="140"/>
      <c r="N101" s="140"/>
      <c r="O101" s="140"/>
      <c r="P101" s="140"/>
      <c r="Q101" s="141"/>
      <c r="R101" s="140"/>
      <c r="S101" s="140"/>
      <c r="T101" s="140"/>
      <c r="U101" s="142"/>
      <c r="W101" s="225"/>
    </row>
    <row r="102" spans="2:23" s="1" customFormat="1" x14ac:dyDescent="0.5">
      <c r="B102" s="14" t="s">
        <v>25</v>
      </c>
      <c r="C102" s="64"/>
      <c r="D102" s="64"/>
      <c r="E102" s="64"/>
      <c r="F102" s="64"/>
      <c r="G102" s="136">
        <f ca="1">'NYC Results'!$G53*'Material %'!G49</f>
        <v>691.95168000000012</v>
      </c>
      <c r="H102" s="74">
        <f ca="1">'NYC Results'!$G53*'Material %'!H49</f>
        <v>0</v>
      </c>
      <c r="I102" s="74">
        <f ca="1">'NYC Results'!$G53*'Material %'!I49</f>
        <v>0</v>
      </c>
      <c r="J102" s="74">
        <f ca="1">'NYC Results'!$G53*'Material %'!J49</f>
        <v>0</v>
      </c>
      <c r="K102" s="137">
        <f ca="1">+G102+H102</f>
        <v>691.95168000000012</v>
      </c>
      <c r="L102" s="136">
        <f ca="1">'NYC Results'!$G53*'Material %'!L49</f>
        <v>0</v>
      </c>
      <c r="M102" s="74">
        <f ca="1">'NYC Results'!$G53*'Material %'!M49</f>
        <v>0</v>
      </c>
      <c r="N102" s="74">
        <f ca="1">'NYC Results'!$G53*'Material %'!N49</f>
        <v>0</v>
      </c>
      <c r="O102" s="74">
        <f ca="1">'NYC Results'!$G53*'Material %'!O49</f>
        <v>0</v>
      </c>
      <c r="P102" s="74">
        <f ca="1">'NYC Results'!$G53*'Material %'!P49</f>
        <v>0</v>
      </c>
      <c r="Q102" s="137">
        <f ca="1">SUM(L102:P102)</f>
        <v>0</v>
      </c>
      <c r="R102" s="74">
        <f ca="1">'NYC Results'!$G53*'Material %'!R49</f>
        <v>0</v>
      </c>
      <c r="S102" s="74">
        <f ca="1">'NYC Results'!$G53*'Material %'!S49</f>
        <v>76.883520000000019</v>
      </c>
      <c r="T102" s="74">
        <f ca="1">'NYC Results'!$G53*'Material %'!T49</f>
        <v>0</v>
      </c>
      <c r="U102" s="138">
        <f ca="1">+SUM(K102,Q102:T102)</f>
        <v>768.8352000000001</v>
      </c>
      <c r="W102" s="225"/>
    </row>
    <row r="103" spans="2:23" s="1" customFormat="1" ht="7.1" customHeight="1" x14ac:dyDescent="0.5">
      <c r="B103" s="14"/>
      <c r="C103" s="64"/>
      <c r="D103" s="64"/>
      <c r="E103" s="64"/>
      <c r="F103" s="64"/>
      <c r="G103" s="136"/>
      <c r="H103" s="74"/>
      <c r="I103" s="74"/>
      <c r="J103" s="74"/>
      <c r="K103" s="137"/>
      <c r="L103" s="136"/>
      <c r="M103" s="74"/>
      <c r="N103" s="74"/>
      <c r="O103" s="74"/>
      <c r="P103" s="74"/>
      <c r="Q103" s="137"/>
      <c r="R103" s="74"/>
      <c r="S103" s="74"/>
      <c r="T103" s="74"/>
      <c r="U103" s="138"/>
      <c r="W103" s="225"/>
    </row>
    <row r="104" spans="2:23" s="1" customFormat="1" x14ac:dyDescent="0.5">
      <c r="B104" s="86" t="s">
        <v>4</v>
      </c>
      <c r="C104" s="166"/>
      <c r="D104" s="166"/>
      <c r="E104" s="166"/>
      <c r="F104" s="166"/>
      <c r="G104" s="139"/>
      <c r="H104" s="140"/>
      <c r="I104" s="140"/>
      <c r="J104" s="140"/>
      <c r="K104" s="141"/>
      <c r="L104" s="139"/>
      <c r="M104" s="140"/>
      <c r="N104" s="140"/>
      <c r="O104" s="140"/>
      <c r="P104" s="140"/>
      <c r="Q104" s="141"/>
      <c r="R104" s="140"/>
      <c r="S104" s="140"/>
      <c r="T104" s="140"/>
      <c r="U104" s="142"/>
      <c r="W104" s="225"/>
    </row>
    <row r="105" spans="2:23" s="1" customFormat="1" x14ac:dyDescent="0.5">
      <c r="B105" s="14" t="s">
        <v>20</v>
      </c>
      <c r="C105" s="64"/>
      <c r="D105" s="64"/>
      <c r="E105" s="73"/>
      <c r="F105" s="73"/>
      <c r="G105" s="136">
        <f ca="1">'NYC Results'!$G56*'Material %'!G52</f>
        <v>75.946344000000011</v>
      </c>
      <c r="H105" s="74">
        <f ca="1">'NYC Results'!$G56*'Material %'!H52</f>
        <v>1.5659040000000002</v>
      </c>
      <c r="I105" s="74">
        <f ca="1">'NYC Results'!$G56*'Material %'!I52</f>
        <v>0</v>
      </c>
      <c r="J105" s="74">
        <f ca="1">'NYC Results'!$G56*'Material %'!J52</f>
        <v>0.78295200000000009</v>
      </c>
      <c r="K105" s="137">
        <f t="shared" ref="K105:K107" ca="1" si="56">+G105+H105</f>
        <v>77.512248000000014</v>
      </c>
      <c r="L105" s="136">
        <f ca="1">'NYC Results'!$G56*'Material %'!L52</f>
        <v>0</v>
      </c>
      <c r="M105" s="74">
        <f ca="1">'NYC Results'!$G56*'Material %'!M52</f>
        <v>0</v>
      </c>
      <c r="N105" s="74">
        <f ca="1">'NYC Results'!$G56*'Material %'!N52</f>
        <v>0</v>
      </c>
      <c r="O105" s="74">
        <f ca="1">'NYC Results'!$G56*'Material %'!O52</f>
        <v>0</v>
      </c>
      <c r="P105" s="74">
        <f ca="1">'NYC Results'!$G56*'Material %'!P52</f>
        <v>0</v>
      </c>
      <c r="Q105" s="137">
        <f t="shared" ref="Q105:Q107" ca="1" si="57">SUM(L105:P105)</f>
        <v>0</v>
      </c>
      <c r="R105" s="74">
        <f ca="1">'NYC Results'!$G56*'Material %'!R52</f>
        <v>0</v>
      </c>
      <c r="S105" s="74">
        <f ca="1">'NYC Results'!$G56*'Material %'!S52</f>
        <v>0</v>
      </c>
      <c r="T105" s="74">
        <f ca="1">'NYC Results'!$G56*'Material %'!T52</f>
        <v>0</v>
      </c>
      <c r="U105" s="138">
        <f ca="1">+SUM(K105,Q105:T105)</f>
        <v>77.512248000000014</v>
      </c>
      <c r="W105" s="225"/>
    </row>
    <row r="106" spans="2:23" s="1" customFormat="1" x14ac:dyDescent="0.5">
      <c r="B106" s="14" t="s">
        <v>11</v>
      </c>
      <c r="C106" s="64"/>
      <c r="D106" s="64"/>
      <c r="E106" s="73"/>
      <c r="F106" s="73"/>
      <c r="G106" s="136">
        <f ca="1">'NYC Results'!$G57*'Material %'!G53</f>
        <v>68.992392000000009</v>
      </c>
      <c r="H106" s="74">
        <f ca="1">'NYC Results'!$G57*'Material %'!H53</f>
        <v>0</v>
      </c>
      <c r="I106" s="74">
        <f ca="1">'NYC Results'!$G57*'Material %'!I53</f>
        <v>0</v>
      </c>
      <c r="J106" s="74">
        <f ca="1">'NYC Results'!$G57*'Material %'!J53</f>
        <v>0</v>
      </c>
      <c r="K106" s="137">
        <f t="shared" ca="1" si="56"/>
        <v>68.992392000000009</v>
      </c>
      <c r="L106" s="136">
        <f ca="1">'NYC Results'!$G57*'Material %'!L53</f>
        <v>0</v>
      </c>
      <c r="M106" s="74">
        <f ca="1">'NYC Results'!$G57*'Material %'!M53</f>
        <v>256.25745600000005</v>
      </c>
      <c r="N106" s="74">
        <f ca="1">'NYC Results'!$G57*'Material %'!N53</f>
        <v>256.25745600000005</v>
      </c>
      <c r="O106" s="74">
        <f ca="1">'NYC Results'!$G57*'Material %'!O53</f>
        <v>394.24224000000004</v>
      </c>
      <c r="P106" s="74">
        <f ca="1">'NYC Results'!$G57*'Material %'!P53</f>
        <v>0</v>
      </c>
      <c r="Q106" s="137">
        <f t="shared" ca="1" si="57"/>
        <v>906.75715200000013</v>
      </c>
      <c r="R106" s="74">
        <f ca="1">'NYC Results'!$G57*'Material %'!R53</f>
        <v>9.8560560000000006</v>
      </c>
      <c r="S106" s="74">
        <f ca="1">'NYC Results'!$G57*'Material %'!S53</f>
        <v>0</v>
      </c>
      <c r="T106" s="74">
        <f ca="1">'NYC Results'!$G57*'Material %'!T53</f>
        <v>0</v>
      </c>
      <c r="U106" s="138">
        <f ca="1">+SUM(K106,Q106:T106)</f>
        <v>985.60560000000009</v>
      </c>
      <c r="W106" s="225"/>
    </row>
    <row r="107" spans="2:23" s="1" customFormat="1" x14ac:dyDescent="0.5">
      <c r="B107" s="174" t="s">
        <v>55</v>
      </c>
      <c r="C107" s="48"/>
      <c r="D107" s="48"/>
      <c r="E107" s="47"/>
      <c r="F107" s="47"/>
      <c r="G107" s="143">
        <f ca="1">'NYC Results'!$G58*'Material %'!G54</f>
        <v>0</v>
      </c>
      <c r="H107" s="49">
        <f ca="1">'NYC Results'!$G58*'Material %'!H54</f>
        <v>119.66640000000001</v>
      </c>
      <c r="I107" s="49">
        <f ca="1">'NYC Results'!$G58*'Material %'!I54</f>
        <v>0</v>
      </c>
      <c r="J107" s="49">
        <f ca="1">'NYC Results'!$G58*'Material %'!J54</f>
        <v>0</v>
      </c>
      <c r="K107" s="144">
        <f t="shared" ca="1" si="56"/>
        <v>119.66640000000001</v>
      </c>
      <c r="L107" s="143">
        <f ca="1">'NYC Results'!$G58*'Material %'!L54</f>
        <v>0</v>
      </c>
      <c r="M107" s="49">
        <f ca="1">'NYC Results'!$G58*'Material %'!M54</f>
        <v>0</v>
      </c>
      <c r="N107" s="49">
        <f ca="1">'NYC Results'!$G58*'Material %'!N54</f>
        <v>0</v>
      </c>
      <c r="O107" s="49">
        <f ca="1">'NYC Results'!$G58*'Material %'!O54</f>
        <v>0</v>
      </c>
      <c r="P107" s="49">
        <f ca="1">'NYC Results'!$G58*'Material %'!P54</f>
        <v>0</v>
      </c>
      <c r="Q107" s="144">
        <f t="shared" ca="1" si="57"/>
        <v>0</v>
      </c>
      <c r="R107" s="49">
        <f ca="1">'NYC Results'!$G58*'Material %'!R54</f>
        <v>0</v>
      </c>
      <c r="S107" s="49">
        <f ca="1">'NYC Results'!$G58*'Material %'!S54</f>
        <v>0</v>
      </c>
      <c r="T107" s="49">
        <f ca="1">'NYC Results'!$G58*'Material %'!T54</f>
        <v>0</v>
      </c>
      <c r="U107" s="145">
        <f ca="1">+SUM(K107,Q107:T107)</f>
        <v>119.66640000000001</v>
      </c>
      <c r="W107" s="225"/>
    </row>
    <row r="108" spans="2:23" s="43" customFormat="1" x14ac:dyDescent="0.5">
      <c r="B108" s="85" t="s">
        <v>38</v>
      </c>
      <c r="C108" s="175"/>
      <c r="D108" s="175"/>
      <c r="E108" s="75"/>
      <c r="F108" s="75"/>
      <c r="G108" s="151">
        <f t="shared" ref="G108:N108" ca="1" si="58">SUM(G105:G107)</f>
        <v>144.93873600000001</v>
      </c>
      <c r="H108" s="152">
        <f t="shared" ca="1" si="58"/>
        <v>121.23230400000001</v>
      </c>
      <c r="I108" s="152">
        <f ca="1">SUM(I105:I107)</f>
        <v>0</v>
      </c>
      <c r="J108" s="152">
        <f ca="1">SUM(J105:J107)</f>
        <v>0.78295200000000009</v>
      </c>
      <c r="K108" s="137">
        <f t="shared" ca="1" si="58"/>
        <v>266.17104000000006</v>
      </c>
      <c r="L108" s="151">
        <f t="shared" ca="1" si="58"/>
        <v>0</v>
      </c>
      <c r="M108" s="152">
        <f t="shared" ca="1" si="58"/>
        <v>256.25745600000005</v>
      </c>
      <c r="N108" s="152">
        <f t="shared" ca="1" si="58"/>
        <v>256.25745600000005</v>
      </c>
      <c r="O108" s="152">
        <f ca="1">SUM(O105:O107)</f>
        <v>394.24224000000004</v>
      </c>
      <c r="P108" s="152">
        <f t="shared" ref="P108:T108" ca="1" si="59">SUM(P105:P107)</f>
        <v>0</v>
      </c>
      <c r="Q108" s="137">
        <f t="shared" ca="1" si="59"/>
        <v>906.75715200000013</v>
      </c>
      <c r="R108" s="152">
        <f t="shared" ca="1" si="59"/>
        <v>9.8560560000000006</v>
      </c>
      <c r="S108" s="152">
        <f t="shared" ca="1" si="59"/>
        <v>0</v>
      </c>
      <c r="T108" s="152">
        <f t="shared" ca="1" si="59"/>
        <v>0</v>
      </c>
      <c r="U108" s="138">
        <f ca="1">+SUM(K108,Q108:T108)</f>
        <v>1182.7842480000004</v>
      </c>
      <c r="W108" s="225"/>
    </row>
    <row r="109" spans="2:23" s="43" customFormat="1" ht="7.1" customHeight="1" thickBot="1" x14ac:dyDescent="0.55000000000000004">
      <c r="B109" s="85"/>
      <c r="C109" s="175"/>
      <c r="D109" s="175"/>
      <c r="E109" s="75"/>
      <c r="F109" s="73"/>
      <c r="G109" s="136"/>
      <c r="H109" s="74"/>
      <c r="I109" s="74"/>
      <c r="J109" s="74"/>
      <c r="K109" s="137"/>
      <c r="L109" s="136"/>
      <c r="M109" s="74"/>
      <c r="N109" s="74"/>
      <c r="O109" s="74"/>
      <c r="P109" s="74"/>
      <c r="Q109" s="137"/>
      <c r="R109" s="74"/>
      <c r="S109" s="74"/>
      <c r="T109" s="74"/>
      <c r="U109" s="138"/>
      <c r="W109" s="225"/>
    </row>
    <row r="110" spans="2:23" s="43" customFormat="1" ht="14.7" thickBot="1" x14ac:dyDescent="0.55000000000000004">
      <c r="B110" s="146" t="s">
        <v>39</v>
      </c>
      <c r="C110" s="147"/>
      <c r="D110" s="147"/>
      <c r="E110" s="148"/>
      <c r="F110" s="148"/>
      <c r="G110" s="153">
        <f t="shared" ref="G110:N110" ca="1" si="60">+G68+G76+G81+G86+G96+G99+G102+G108</f>
        <v>2715.8779769807811</v>
      </c>
      <c r="H110" s="154">
        <f t="shared" ca="1" si="60"/>
        <v>10228.494584980781</v>
      </c>
      <c r="I110" s="154">
        <f ca="1">+I68+I76+I81+I86+I96+I99+I102+I108</f>
        <v>206.37170400000002</v>
      </c>
      <c r="J110" s="154">
        <f ca="1">+J68+J76+J81+J86+J96+J99+J102+J108</f>
        <v>116.93402399999999</v>
      </c>
      <c r="K110" s="149">
        <f t="shared" ca="1" si="60"/>
        <v>12944.372561961562</v>
      </c>
      <c r="L110" s="153">
        <f t="shared" ca="1" si="60"/>
        <v>3000.5184960000001</v>
      </c>
      <c r="M110" s="154">
        <f t="shared" ca="1" si="60"/>
        <v>2106.0454539069551</v>
      </c>
      <c r="N110" s="154">
        <f t="shared" ca="1" si="60"/>
        <v>1625.6054160000003</v>
      </c>
      <c r="O110" s="154">
        <f ca="1">+O68+O76+O81+O86+O96+O99+O102+O108</f>
        <v>1729.9130640000001</v>
      </c>
      <c r="P110" s="154">
        <f t="shared" ref="P110:U110" ca="1" si="61">+P68+P76+P81+P86+P96+P99+P102+P108</f>
        <v>490.19160000000005</v>
      </c>
      <c r="Q110" s="149">
        <f t="shared" ca="1" si="61"/>
        <v>8952.2740299069555</v>
      </c>
      <c r="R110" s="154">
        <f t="shared" ca="1" si="61"/>
        <v>561.89364329678313</v>
      </c>
      <c r="S110" s="154">
        <f t="shared" ca="1" si="61"/>
        <v>79.913736000000014</v>
      </c>
      <c r="T110" s="154">
        <f t="shared" ca="1" si="61"/>
        <v>44.992049514672402</v>
      </c>
      <c r="U110" s="150">
        <f t="shared" ca="1" si="61"/>
        <v>22583.446020679974</v>
      </c>
      <c r="W110" s="225"/>
    </row>
  </sheetData>
  <mergeCells count="3">
    <mergeCell ref="R4:T4"/>
    <mergeCell ref="L59:Q59"/>
    <mergeCell ref="R59:T59"/>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C10"/>
  <sheetViews>
    <sheetView showGridLines="0" zoomScale="115" zoomScaleNormal="115" zoomScalePageLayoutView="115" workbookViewId="0">
      <selection activeCell="G41" sqref="G41"/>
    </sheetView>
  </sheetViews>
  <sheetFormatPr defaultColWidth="11.41015625" defaultRowHeight="14.35" x14ac:dyDescent="0.5"/>
  <cols>
    <col min="1" max="1" width="2.3515625" customWidth="1"/>
    <col min="2" max="3" width="16.41015625" customWidth="1"/>
  </cols>
  <sheetData>
    <row r="1" spans="1:3" s="79" customFormat="1" ht="18" x14ac:dyDescent="0.6">
      <c r="A1" s="79" t="s">
        <v>93</v>
      </c>
    </row>
    <row r="3" spans="1:3" x14ac:dyDescent="0.5">
      <c r="B3" s="229" t="s">
        <v>107</v>
      </c>
    </row>
    <row r="4" spans="1:3" ht="3" customHeight="1" x14ac:dyDescent="0.5">
      <c r="B4" s="230"/>
      <c r="C4" s="231"/>
    </row>
    <row r="5" spans="1:3" ht="3" customHeight="1" x14ac:dyDescent="0.5">
      <c r="B5" s="229"/>
    </row>
    <row r="6" spans="1:3" x14ac:dyDescent="0.5">
      <c r="B6" s="232" t="s">
        <v>106</v>
      </c>
      <c r="C6" s="233" t="s">
        <v>105</v>
      </c>
    </row>
    <row r="7" spans="1:3" x14ac:dyDescent="0.5">
      <c r="B7" s="234" t="s">
        <v>75</v>
      </c>
      <c r="C7" s="287">
        <v>1</v>
      </c>
    </row>
    <row r="8" spans="1:3" x14ac:dyDescent="0.5">
      <c r="B8" s="235" t="s">
        <v>76</v>
      </c>
      <c r="C8" s="288">
        <v>1000</v>
      </c>
    </row>
    <row r="9" spans="1:3" x14ac:dyDescent="0.5">
      <c r="B9" s="235" t="s">
        <v>108</v>
      </c>
      <c r="C9" s="288">
        <f>1000000*(1/907185)</f>
        <v>1.1023109950010197</v>
      </c>
    </row>
    <row r="10" spans="1:3" x14ac:dyDescent="0.5">
      <c r="B10" s="236" t="s">
        <v>77</v>
      </c>
      <c r="C10" s="289">
        <f>1000000*(1/453.5925015418)</f>
        <v>2204.621982508339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2"/>
  <sheetViews>
    <sheetView showGridLines="0" workbookViewId="0">
      <selection activeCell="B2" sqref="B2"/>
    </sheetView>
  </sheetViews>
  <sheetFormatPr defaultColWidth="8.76171875" defaultRowHeight="14.35" x14ac:dyDescent="0.5"/>
  <cols>
    <col min="1" max="1" width="2.64453125" customWidth="1"/>
  </cols>
  <sheetData>
    <row r="2" spans="2:2" x14ac:dyDescent="0.5">
      <c r="B2" t="s">
        <v>109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Y170"/>
  <sheetViews>
    <sheetView showGridLines="0" workbookViewId="0">
      <selection activeCell="K16" sqref="K16"/>
    </sheetView>
  </sheetViews>
  <sheetFormatPr defaultColWidth="10.41015625" defaultRowHeight="14.35" x14ac:dyDescent="0.5"/>
  <cols>
    <col min="1" max="3" width="2.3515625" customWidth="1"/>
    <col min="6" max="6" width="11.41015625" bestFit="1" customWidth="1"/>
    <col min="8" max="9" width="12.41015625" customWidth="1"/>
    <col min="10" max="10" width="2.41015625" style="72" customWidth="1"/>
    <col min="11" max="11" width="11.64453125" bestFit="1" customWidth="1"/>
    <col min="15" max="15" width="11.1171875" customWidth="1"/>
    <col min="22" max="22" width="16.3515625" bestFit="1" customWidth="1"/>
  </cols>
  <sheetData>
    <row r="1" spans="1:25" s="30" customFormat="1" ht="18" x14ac:dyDescent="0.6">
      <c r="A1" s="30" t="s">
        <v>68</v>
      </c>
      <c r="J1" s="110"/>
    </row>
    <row r="2" spans="1:25" x14ac:dyDescent="0.5">
      <c r="G2" s="96"/>
      <c r="H2" s="31"/>
      <c r="I2" s="31"/>
      <c r="U2" s="96"/>
    </row>
    <row r="3" spans="1:25" ht="14.7" thickBot="1" x14ac:dyDescent="0.55000000000000004">
      <c r="B3" s="257" t="s">
        <v>27</v>
      </c>
      <c r="C3" s="258"/>
      <c r="D3" s="258"/>
      <c r="E3" s="258"/>
      <c r="F3" s="258"/>
      <c r="G3" s="259"/>
      <c r="H3" s="258"/>
      <c r="I3" s="258"/>
      <c r="J3" s="258"/>
      <c r="K3" s="258"/>
      <c r="L3" s="258"/>
      <c r="M3" s="258"/>
      <c r="N3" s="258"/>
      <c r="O3" s="258"/>
      <c r="P3" s="258"/>
      <c r="Q3" s="260"/>
      <c r="S3" s="72"/>
      <c r="T3" s="72"/>
      <c r="U3" s="72"/>
      <c r="V3" s="309"/>
      <c r="W3" s="313"/>
      <c r="Y3" s="313"/>
    </row>
    <row r="4" spans="1:25" ht="15" thickTop="1" thickBot="1" x14ac:dyDescent="0.55000000000000004">
      <c r="B4" s="261"/>
      <c r="C4" s="72" t="s">
        <v>74</v>
      </c>
      <c r="D4" s="72"/>
      <c r="E4" s="72"/>
      <c r="F4" s="93" t="s">
        <v>108</v>
      </c>
      <c r="G4" s="64"/>
      <c r="H4" s="72"/>
      <c r="I4" s="72"/>
      <c r="K4" s="72"/>
      <c r="L4" s="72"/>
      <c r="M4" s="72"/>
      <c r="N4" s="72"/>
      <c r="O4" s="72"/>
      <c r="P4" s="262"/>
      <c r="Q4" s="263"/>
      <c r="S4" s="72"/>
      <c r="T4" s="72"/>
      <c r="U4" s="72"/>
      <c r="V4" s="310"/>
      <c r="W4" s="314"/>
    </row>
    <row r="5" spans="1:25" s="1" customFormat="1" ht="15" thickTop="1" thickBot="1" x14ac:dyDescent="0.55000000000000004">
      <c r="B5" s="267"/>
      <c r="C5" s="78" t="s">
        <v>186</v>
      </c>
      <c r="D5" s="78"/>
      <c r="E5" s="64"/>
      <c r="F5" s="64"/>
      <c r="G5" s="268"/>
      <c r="H5" s="268"/>
      <c r="I5" s="268"/>
      <c r="J5" s="64"/>
      <c r="K5" s="64"/>
      <c r="L5" s="64"/>
      <c r="M5" s="64"/>
      <c r="N5" s="32">
        <v>1</v>
      </c>
      <c r="O5" s="269" t="str">
        <f ca="1">+"Currently Selected: "&amp;'On or Off Premise'!I5&amp;'On or Off Premise'!I6</f>
        <v>Currently Selected: All Units</v>
      </c>
      <c r="Q5" s="270"/>
      <c r="R5"/>
      <c r="S5" s="64"/>
      <c r="T5" s="64"/>
      <c r="U5" s="64"/>
      <c r="V5" s="37"/>
      <c r="W5" s="18"/>
      <c r="X5" s="34"/>
    </row>
    <row r="6" spans="1:25" s="55" customFormat="1" ht="3" customHeight="1" thickTop="1" x14ac:dyDescent="0.5">
      <c r="B6" s="271"/>
      <c r="C6" s="272"/>
      <c r="D6" s="272"/>
      <c r="E6" s="273"/>
      <c r="F6" s="273"/>
      <c r="G6" s="274"/>
      <c r="H6" s="274"/>
      <c r="I6" s="274"/>
      <c r="J6" s="273"/>
      <c r="K6" s="273"/>
      <c r="L6" s="273"/>
      <c r="M6" s="273"/>
      <c r="N6" s="273"/>
      <c r="O6" s="274"/>
      <c r="P6" s="273"/>
      <c r="Q6" s="277"/>
      <c r="R6" s="56"/>
      <c r="S6" s="347"/>
      <c r="T6" s="348"/>
      <c r="U6" s="349"/>
      <c r="V6" s="265"/>
      <c r="W6" s="264"/>
      <c r="X6" s="266"/>
    </row>
    <row r="7" spans="1:25" x14ac:dyDescent="0.5">
      <c r="G7" s="96"/>
      <c r="H7" s="31"/>
      <c r="I7" s="31"/>
      <c r="U7" s="96"/>
    </row>
    <row r="8" spans="1:25" ht="16" thickBot="1" x14ac:dyDescent="0.6">
      <c r="B8" s="46" t="str">
        <f ca="1">+"TOTAL UNITS AND MASS -- "&amp;'On or Off Premise'!I5&amp;'On or Off Premise'!I6</f>
        <v>TOTAL UNITS AND MASS -- All Units</v>
      </c>
      <c r="C8" s="46"/>
      <c r="D8" s="46"/>
      <c r="E8" s="46"/>
      <c r="F8" s="46"/>
      <c r="G8" s="46"/>
      <c r="H8" s="46"/>
      <c r="I8" s="46"/>
      <c r="K8" s="178" t="str">
        <f ca="1">"TOTAL MASS BY MATERIAL ("&amp;F4&amp;") -- "&amp;'On or Off Premise'!I5&amp;'On or Off Premise'!I6</f>
        <v>TOTAL MASS BY MATERIAL (Short Tons) -- All Units</v>
      </c>
      <c r="L8" s="178"/>
      <c r="M8" s="178"/>
      <c r="N8" s="178"/>
      <c r="O8" s="178"/>
      <c r="P8" s="178"/>
      <c r="Q8" s="178"/>
      <c r="R8" s="178"/>
      <c r="S8" s="178"/>
      <c r="T8" s="178"/>
      <c r="U8" s="178"/>
      <c r="V8" s="178"/>
      <c r="W8" s="178"/>
      <c r="X8" s="178"/>
      <c r="Y8" s="96"/>
    </row>
    <row r="9" spans="1:25" s="56" customFormat="1" ht="16" thickBot="1" x14ac:dyDescent="0.6">
      <c r="B9" s="217"/>
      <c r="C9" s="217"/>
      <c r="D9" s="217"/>
      <c r="E9" s="217"/>
      <c r="F9" s="217"/>
      <c r="G9" s="217"/>
      <c r="H9" s="217"/>
      <c r="I9" s="217"/>
      <c r="J9" s="216"/>
      <c r="K9" s="212" t="s">
        <v>73</v>
      </c>
      <c r="L9" s="212"/>
      <c r="M9" s="212"/>
      <c r="N9" s="212"/>
      <c r="O9" s="218"/>
      <c r="P9" s="372" t="s">
        <v>72</v>
      </c>
      <c r="Q9" s="373"/>
      <c r="R9" s="373"/>
      <c r="S9" s="373"/>
      <c r="T9" s="373"/>
      <c r="U9" s="374"/>
      <c r="V9" s="375" t="s">
        <v>4</v>
      </c>
      <c r="W9" s="376"/>
      <c r="X9" s="376"/>
      <c r="Y9"/>
    </row>
    <row r="10" spans="1:25" s="36" customFormat="1" ht="15.7" x14ac:dyDescent="0.55000000000000004">
      <c r="B10" s="111"/>
      <c r="C10" s="111"/>
      <c r="D10" s="111"/>
      <c r="E10" s="111"/>
      <c r="F10" s="111"/>
      <c r="G10" s="215" t="s">
        <v>32</v>
      </c>
      <c r="H10" s="215" t="s">
        <v>33</v>
      </c>
      <c r="I10" s="215" t="s">
        <v>142</v>
      </c>
      <c r="J10" s="111"/>
      <c r="K10" s="59" t="str">
        <f>+IF(ISBLANK('Material %'!G10)*1=1,"",'Material %'!G10)</f>
        <v>Lined</v>
      </c>
      <c r="L10" s="59" t="str">
        <f>+IF(ISBLANK('Material %'!H10)*1=1,"",'Material %'!H10)</f>
        <v>Unlined</v>
      </c>
      <c r="M10" s="59" t="s">
        <v>61</v>
      </c>
      <c r="N10" s="59" t="s">
        <v>182</v>
      </c>
      <c r="O10" s="203" t="str">
        <f>+IF(ISBLANK('Material %'!K10)*1=1,"",'Material %'!K10)</f>
        <v>TOTAL</v>
      </c>
      <c r="P10" s="202"/>
      <c r="Q10" s="59"/>
      <c r="R10" s="59"/>
      <c r="S10" s="59" t="str">
        <f>+IF(ISBLANK('Material %'!O10)*1=1,"",'Material %'!O10)</f>
        <v>EPS</v>
      </c>
      <c r="T10" s="59" t="s">
        <v>71</v>
      </c>
      <c r="U10" s="203" t="str">
        <f>+IF(ISBLANK('Material %'!Q10)*1=1,"",'Material %'!Q10)</f>
        <v>TOTAL</v>
      </c>
      <c r="V10" s="59"/>
      <c r="W10" s="59"/>
      <c r="X10" s="59"/>
    </row>
    <row r="11" spans="1:25" s="36" customFormat="1" ht="16" thickBot="1" x14ac:dyDescent="0.6">
      <c r="B11" s="39"/>
      <c r="C11" s="39"/>
      <c r="D11" s="39"/>
      <c r="E11" s="39"/>
      <c r="F11" s="39"/>
      <c r="G11" s="40" t="s">
        <v>44</v>
      </c>
      <c r="H11" s="226" t="str">
        <f>"("&amp;F4&amp;")"</f>
        <v>(Short Tons)</v>
      </c>
      <c r="I11" s="40" t="s">
        <v>143</v>
      </c>
      <c r="J11" s="111"/>
      <c r="K11" s="29" t="str">
        <f>+IF(ISBLANK('Material %'!G11)*1=1,"",'Material %'!G11)</f>
        <v>Paper</v>
      </c>
      <c r="L11" s="29" t="str">
        <f>+IF(ISBLANK('Material %'!H11)*1=1,"",'Material %'!H11)</f>
        <v>Paper</v>
      </c>
      <c r="M11" s="29" t="s">
        <v>62</v>
      </c>
      <c r="N11" s="29" t="s">
        <v>62</v>
      </c>
      <c r="O11" s="70" t="str">
        <f>+IF(ISBLANK('Material %'!K11)*1=1,"",'Material %'!K11)</f>
        <v>PAPER</v>
      </c>
      <c r="P11" s="58" t="str">
        <f>+IF(ISBLANK('Material %'!L11)*1=1,"",'Material %'!L11)</f>
        <v>PET</v>
      </c>
      <c r="Q11" s="29" t="str">
        <f>+IF(ISBLANK('Material %'!M11)*1=1,"",'Material %'!M11)</f>
        <v>PP</v>
      </c>
      <c r="R11" s="29" t="str">
        <f>+IF(ISBLANK('Material %'!N11)*1=1,"",'Material %'!N11)</f>
        <v>PS</v>
      </c>
      <c r="S11" s="29" t="str">
        <f>+IF(ISBLANK('Material %'!O11)*1=1,"",'Material %'!O11)</f>
        <v>Foam</v>
      </c>
      <c r="T11" s="29" t="s">
        <v>183</v>
      </c>
      <c r="U11" s="70" t="str">
        <f>+IF(ISBLANK('Material %'!Q11)*1=1,"",'Material %'!Q11)</f>
        <v>PLASTIC</v>
      </c>
      <c r="V11" s="29" t="str">
        <f>+IF(ISBLANK('Material %'!R11)*1=1,"",'Material %'!R11)</f>
        <v>PLA</v>
      </c>
      <c r="W11" s="29" t="str">
        <f>+IF(ISBLANK('Material %'!S11)*1=1,"",'Material %'!S11)</f>
        <v>Aluminum</v>
      </c>
      <c r="X11" s="29" t="str">
        <f>+IF(ISBLANK('Material %'!T11)*1=1,"",'Material %'!T11)</f>
        <v>Wood</v>
      </c>
    </row>
    <row r="12" spans="1:25" s="1" customFormat="1" ht="15.7" x14ac:dyDescent="0.55000000000000004">
      <c r="B12" s="7" t="s">
        <v>21</v>
      </c>
      <c r="C12" s="8"/>
      <c r="D12" s="8"/>
      <c r="E12" s="9"/>
      <c r="F12" s="9"/>
      <c r="G12" s="54"/>
      <c r="H12" s="54"/>
      <c r="I12" s="54"/>
      <c r="J12" s="64"/>
      <c r="K12" s="179"/>
      <c r="L12" s="179"/>
      <c r="M12" s="179"/>
      <c r="N12" s="179"/>
      <c r="O12" s="180"/>
      <c r="P12" s="181"/>
      <c r="Q12" s="179"/>
      <c r="R12" s="179"/>
      <c r="S12" s="179"/>
      <c r="T12" s="179"/>
      <c r="U12" s="180"/>
      <c r="V12" s="179"/>
      <c r="W12" s="179"/>
      <c r="X12" s="179"/>
    </row>
    <row r="13" spans="1:25" s="1" customFormat="1" x14ac:dyDescent="0.5">
      <c r="B13" s="94" t="s">
        <v>59</v>
      </c>
      <c r="C13" s="56"/>
      <c r="D13" s="56"/>
      <c r="E13" s="55"/>
      <c r="F13" s="55"/>
      <c r="G13" s="97"/>
      <c r="H13" s="95"/>
      <c r="I13" s="95"/>
      <c r="J13" s="64"/>
      <c r="K13" s="74"/>
      <c r="L13" s="74"/>
      <c r="M13" s="74"/>
      <c r="N13" s="74"/>
      <c r="O13" s="137"/>
      <c r="P13" s="136"/>
      <c r="Q13" s="74"/>
      <c r="R13" s="74"/>
      <c r="S13" s="74"/>
      <c r="T13" s="74"/>
      <c r="U13" s="137"/>
      <c r="V13" s="74"/>
      <c r="W13" s="74"/>
      <c r="X13" s="74"/>
    </row>
    <row r="14" spans="1:25" s="1" customFormat="1" x14ac:dyDescent="0.5">
      <c r="B14" s="2"/>
      <c r="C14" s="1" t="s">
        <v>52</v>
      </c>
      <c r="G14" s="99">
        <f ca="1">+'On or Off Premise'!I9</f>
        <v>1400</v>
      </c>
      <c r="H14" s="99">
        <f ca="1">+SUM(O14,U14:X14)</f>
        <v>225265.83429399732</v>
      </c>
      <c r="I14" s="305">
        <f ca="1">H14/$H$60</f>
        <v>4.5678298809363464E-2</v>
      </c>
      <c r="J14" s="112"/>
      <c r="K14" s="74">
        <f ca="1">+'Units Sold'!G9*IF('Product Masses'!G9="X",0,'Product Masses'!G9)*VLOOKUP($F$4,Conversions!$B$7:$C$10,2,FALSE)</f>
        <v>47610.178270143355</v>
      </c>
      <c r="L14" s="74">
        <f ca="1">+'Units Sold'!H9*IF('Product Masses'!H9="X",0,'Product Masses'!H9)*VLOOKUP($F$4,Conversions!$B$7:$C$10,2,FALSE)</f>
        <v>177655.65602385398</v>
      </c>
      <c r="M14" s="74">
        <f ca="1">+'Units Sold'!I9*IF('Product Masses'!I9="X",0,'Product Masses'!I9)*VLOOKUP($F$4,Conversions!$B$7:$C$10,2,FALSE)</f>
        <v>0</v>
      </c>
      <c r="N14" s="74">
        <f ca="1">+'Units Sold'!J9*IF('Product Masses'!J9="X",0,'Product Masses'!J9)*VLOOKUP($F$4,Conversions!$B$7:$C$10,2,FALSE)</f>
        <v>0</v>
      </c>
      <c r="O14" s="137">
        <f ca="1">SUM(K14:N14)</f>
        <v>225265.83429399732</v>
      </c>
      <c r="P14" s="136">
        <f ca="1">+'Units Sold'!L9*IF('Product Masses'!K9="X",0,'Product Masses'!K9)*VLOOKUP($F$4,Conversions!$B$7:$C$10,2,FALSE)</f>
        <v>0</v>
      </c>
      <c r="Q14" s="74">
        <f ca="1">+'Units Sold'!M9*IF('Product Masses'!L9="X",0,'Product Masses'!L9)*VLOOKUP($F$4,Conversions!$B$7:$C$10,2,FALSE)</f>
        <v>0</v>
      </c>
      <c r="R14" s="74">
        <f ca="1">+'Units Sold'!N9*IF('Product Masses'!M9="X",0,'Product Masses'!M9)*VLOOKUP($F$4,Conversions!$B$7:$C$10,2,FALSE)</f>
        <v>0</v>
      </c>
      <c r="S14" s="74">
        <f ca="1">+'Units Sold'!O9*IF('Product Masses'!N9="X",0,'Product Masses'!N9)*VLOOKUP($F$4,Conversions!$B$7:$C$10,2,FALSE)</f>
        <v>0</v>
      </c>
      <c r="T14" s="74">
        <f ca="1">+'Units Sold'!P9*IF('Product Masses'!O9="X",0,'Product Masses'!O9)*VLOOKUP($F$4,Conversions!$B$7:$C$10,2,FALSE)</f>
        <v>0</v>
      </c>
      <c r="U14" s="137">
        <f ca="1">SUM(P14:T14)</f>
        <v>0</v>
      </c>
      <c r="V14" s="74">
        <f ca="1">+'Units Sold'!R9*IF('Product Masses'!P9="X",0,'Product Masses'!P9)*VLOOKUP($F$4,Conversions!$B$7:$C$10,2,FALSE)</f>
        <v>0</v>
      </c>
      <c r="W14" s="74">
        <f ca="1">+'Units Sold'!S9*IF('Product Masses'!Q9="X",0,'Product Masses'!Q9)*VLOOKUP($F$4,Conversions!$B$7:$C$10,2,FALSE)</f>
        <v>0</v>
      </c>
      <c r="X14" s="74">
        <f ca="1">+'Units Sold'!T9*IF('Product Masses'!R9="X",0,'Product Masses'!R9)*VLOOKUP($F$4,Conversions!$B$7:$C$10,2,FALSE)</f>
        <v>0</v>
      </c>
    </row>
    <row r="15" spans="1:25" s="1" customFormat="1" x14ac:dyDescent="0.5">
      <c r="B15" s="2"/>
      <c r="C15" s="1" t="s">
        <v>4</v>
      </c>
      <c r="G15" s="99">
        <f ca="1">+'On or Off Premise'!I10</f>
        <v>2356</v>
      </c>
      <c r="H15" s="99">
        <f ca="1">+SUM(O15,U15:X15)</f>
        <v>89456.203374658988</v>
      </c>
      <c r="I15" s="305">
        <f ca="1">H15/$H$60</f>
        <v>1.8139489287869105E-2</v>
      </c>
      <c r="J15" s="112"/>
      <c r="K15" s="74">
        <f ca="1">+'Units Sold'!G10*IF('Product Masses'!G10="X",0,'Product Masses'!G10)*VLOOKUP($F$4,Conversions!$B$7:$C$10,2,FALSE)</f>
        <v>89456.203374658988</v>
      </c>
      <c r="L15" s="74">
        <f ca="1">+'Units Sold'!H10*IF('Product Masses'!H10="X",0,'Product Masses'!H10)*VLOOKUP($F$4,Conversions!$B$7:$C$10,2,FALSE)</f>
        <v>0</v>
      </c>
      <c r="M15" s="74">
        <f ca="1">+'Units Sold'!I10*IF('Product Masses'!I10="X",0,'Product Masses'!I10)*VLOOKUP($F$4,Conversions!$B$7:$C$10,2,FALSE)</f>
        <v>0</v>
      </c>
      <c r="N15" s="74">
        <f ca="1">+'Units Sold'!J10*IF('Product Masses'!J10="X",0,'Product Masses'!J10)*VLOOKUP($F$4,Conversions!$B$7:$C$10,2,FALSE)</f>
        <v>0</v>
      </c>
      <c r="O15" s="137">
        <f ca="1">SUM(K15:N15)</f>
        <v>89456.203374658988</v>
      </c>
      <c r="P15" s="136">
        <f ca="1">+'Units Sold'!L10*IF('Product Masses'!K10="X",0,'Product Masses'!K10)*VLOOKUP($F$4,Conversions!$B$7:$C$10,2,FALSE)</f>
        <v>0</v>
      </c>
      <c r="Q15" s="74">
        <f ca="1">+'Units Sold'!M10*IF('Product Masses'!L10="X",0,'Product Masses'!L10)*VLOOKUP($F$4,Conversions!$B$7:$C$10,2,FALSE)</f>
        <v>0</v>
      </c>
      <c r="R15" s="74">
        <f ca="1">+'Units Sold'!N10*IF('Product Masses'!M10="X",0,'Product Masses'!M10)*VLOOKUP($F$4,Conversions!$B$7:$C$10,2,FALSE)</f>
        <v>0</v>
      </c>
      <c r="S15" s="74">
        <f ca="1">+'Units Sold'!O10*IF('Product Masses'!N10="X",0,'Product Masses'!N10)*VLOOKUP($F$4,Conversions!$B$7:$C$10,2,FALSE)</f>
        <v>0</v>
      </c>
      <c r="T15" s="74">
        <f ca="1">+'Units Sold'!P10*IF('Product Masses'!O10="X",0,'Product Masses'!O10)*VLOOKUP($F$4,Conversions!$B$7:$C$10,2,FALSE)</f>
        <v>0</v>
      </c>
      <c r="U15" s="137">
        <f ca="1">SUM(P15:T15)</f>
        <v>0</v>
      </c>
      <c r="V15" s="74">
        <f ca="1">+'Units Sold'!R10*IF('Product Masses'!P10="X",0,'Product Masses'!P10)*VLOOKUP($F$4,Conversions!$B$7:$C$10,2,FALSE)</f>
        <v>0</v>
      </c>
      <c r="W15" s="74">
        <f ca="1">+'Units Sold'!S10*IF('Product Masses'!Q10="X",0,'Product Masses'!Q10)*VLOOKUP($F$4,Conversions!$B$7:$C$10,2,FALSE)</f>
        <v>0</v>
      </c>
      <c r="X15" s="74">
        <f ca="1">+'Units Sold'!T10*IF('Product Masses'!R10="X",0,'Product Masses'!R10)*VLOOKUP($F$4,Conversions!$B$7:$C$10,2,FALSE)</f>
        <v>0</v>
      </c>
    </row>
    <row r="16" spans="1:25" s="1" customFormat="1" x14ac:dyDescent="0.5">
      <c r="B16" s="2" t="s">
        <v>5</v>
      </c>
      <c r="E16" s="2"/>
      <c r="F16" s="2"/>
      <c r="G16" s="99">
        <f ca="1">+'On or Off Premise'!I11</f>
        <v>13282</v>
      </c>
      <c r="H16" s="99">
        <f ca="1">+SUM(O16,U16:X16)</f>
        <v>300606.78563940927</v>
      </c>
      <c r="I16" s="305">
        <f ca="1">H16/$H$60</f>
        <v>6.0955566660137343E-2</v>
      </c>
      <c r="J16" s="112"/>
      <c r="K16" s="74">
        <f ca="1">+'Units Sold'!G11*IF('Product Masses'!G11="X",0,'Product Masses'!G11)*VLOOKUP($F$4,Conversions!$B$7:$C$10,2,FALSE)</f>
        <v>5301.7674329081719</v>
      </c>
      <c r="L16" s="74">
        <f ca="1">+'Units Sold'!H11*IF('Product Masses'!H11="X",0,'Product Masses'!H11)*VLOOKUP($F$4,Conversions!$B$7:$C$10,2,FALSE)</f>
        <v>5301.7674329081719</v>
      </c>
      <c r="M16" s="74">
        <f ca="1">+'Units Sold'!I11*IF('Product Masses'!I11="X",0,'Product Masses'!I11)*VLOOKUP($F$4,Conversions!$B$7:$C$10,2,FALSE)</f>
        <v>5296.191661943265</v>
      </c>
      <c r="N16" s="74">
        <f ca="1">+'Units Sold'!J11*IF('Product Masses'!J11="X",0,'Product Masses'!J11)*VLOOKUP($F$4,Conversions!$B$7:$C$10,2,FALSE)</f>
        <v>5833.7246782354196</v>
      </c>
      <c r="O16" s="137">
        <f ca="1">SUM(K16:N16)</f>
        <v>21733.451205995028</v>
      </c>
      <c r="P16" s="136">
        <f ca="1">+'Units Sold'!L11*IF('Product Masses'!K11="X",0,'Product Masses'!K11)*VLOOKUP($F$4,Conversions!$B$7:$C$10,2,FALSE)</f>
        <v>32935.880401058217</v>
      </c>
      <c r="Q16" s="74">
        <f ca="1">+'Units Sold'!M11*IF('Product Masses'!L11="X",0,'Product Masses'!L11)*VLOOKUP($F$4,Conversions!$B$7:$C$10,2,FALSE)</f>
        <v>65464.353971018048</v>
      </c>
      <c r="R16" s="74">
        <f ca="1">+'Units Sold'!N11*IF('Product Masses'!M11="X",0,'Product Masses'!M11)*VLOOKUP($F$4,Conversions!$B$7:$C$10,2,FALSE)</f>
        <v>27574.508442496295</v>
      </c>
      <c r="S16" s="74">
        <f ca="1">+'Units Sold'!O11*IF('Product Masses'!N11="X",0,'Product Masses'!N11)*VLOOKUP($F$4,Conversions!$B$7:$C$10,2,FALSE)</f>
        <v>146928.68508520318</v>
      </c>
      <c r="T16" s="74">
        <f ca="1">+'Units Sold'!P11*IF('Product Masses'!O11="X",0,'Product Masses'!O11)*VLOOKUP($F$4,Conversions!$B$7:$C$10,2,FALSE)</f>
        <v>0</v>
      </c>
      <c r="U16" s="137">
        <f ca="1">SUM(P16:T16)</f>
        <v>272903.42789977574</v>
      </c>
      <c r="V16" s="74">
        <f ca="1">+'Units Sold'!R11*IF('Product Masses'!P11="X",0,'Product Masses'!P11)*VLOOKUP($F$4,Conversions!$B$7:$C$10,2,FALSE)</f>
        <v>5969.9065336384538</v>
      </c>
      <c r="W16" s="74">
        <f ca="1">+'Units Sold'!S11*IF('Product Masses'!Q11="X",0,'Product Masses'!Q11)*VLOOKUP($F$4,Conversions!$B$7:$C$10,2,FALSE)</f>
        <v>0</v>
      </c>
      <c r="X16" s="74">
        <f ca="1">+'Units Sold'!T11*IF('Product Masses'!R11="X",0,'Product Masses'!R11)*VLOOKUP($F$4,Conversions!$B$7:$C$10,2,FALSE)</f>
        <v>0</v>
      </c>
    </row>
    <row r="17" spans="2:24" s="1" customFormat="1" x14ac:dyDescent="0.5">
      <c r="B17" s="47" t="s">
        <v>6</v>
      </c>
      <c r="C17" s="48"/>
      <c r="D17" s="48"/>
      <c r="E17" s="48"/>
      <c r="F17" s="48"/>
      <c r="G17" s="101">
        <f ca="1">+'On or Off Premise'!I12</f>
        <v>7427</v>
      </c>
      <c r="H17" s="101">
        <f ca="1">+SUM(O17,U17:X17)</f>
        <v>147326.79228702383</v>
      </c>
      <c r="I17" s="307">
        <f ca="1">H17/$H$60</f>
        <v>2.9874202902552736E-2</v>
      </c>
      <c r="J17" s="112"/>
      <c r="K17" s="49">
        <f ca="1">+'Units Sold'!G12*IF('Product Masses'!G12="X",0,'Product Masses'!G12)*VLOOKUP($F$4,Conversions!$B$7:$C$10,2,FALSE)</f>
        <v>9719.7779797852727</v>
      </c>
      <c r="L17" s="49">
        <f ca="1">+'Units Sold'!H12*IF('Product Masses'!H12="X",0,'Product Masses'!H12)*VLOOKUP($F$4,Conversions!$B$7:$C$10,2,FALSE)</f>
        <v>0</v>
      </c>
      <c r="M17" s="49">
        <f ca="1">+'Units Sold'!I12*IF('Product Masses'!I12="X",0,'Product Masses'!I12)*VLOOKUP($F$4,Conversions!$B$7:$C$10,2,FALSE)</f>
        <v>61851.987819798611</v>
      </c>
      <c r="N17" s="49">
        <f ca="1">+'Units Sold'!J12*IF('Product Masses'!J12="X",0,'Product Masses'!J12)*VLOOKUP($F$4,Conversions!$B$7:$C$10,2,FALSE)</f>
        <v>2029.330294801832</v>
      </c>
      <c r="O17" s="144">
        <f ca="1">SUM(K17:N17)</f>
        <v>73601.096094385721</v>
      </c>
      <c r="P17" s="143">
        <f ca="1">+'Units Sold'!L12*IF('Product Masses'!K12="X",0,'Product Masses'!K12)*VLOOKUP($F$4,Conversions!$B$7:$C$10,2,FALSE)</f>
        <v>9093.6087760040118</v>
      </c>
      <c r="Q17" s="49">
        <f ca="1">+'Units Sold'!M12*IF('Product Masses'!L12="X",0,'Product Masses'!L12)*VLOOKUP($F$4,Conversions!$B$7:$C$10,2,FALSE)</f>
        <v>14293.414541137696</v>
      </c>
      <c r="R17" s="49">
        <f ca="1">+'Units Sold'!N12*IF('Product Masses'!M12="X",0,'Product Masses'!M12)*VLOOKUP($F$4,Conversions!$B$7:$C$10,2,FALSE)</f>
        <v>5949.1720139177787</v>
      </c>
      <c r="S17" s="49">
        <f ca="1">+'Units Sold'!O12*IF('Product Masses'!N12="X",0,'Product Masses'!N12)*VLOOKUP($F$4,Conversions!$B$7:$C$10,2,FALSE)</f>
        <v>41231.409237614163</v>
      </c>
      <c r="T17" s="49">
        <f ca="1">+'Units Sold'!P12*IF('Product Masses'!O12="X",0,'Product Masses'!O12)*VLOOKUP($F$4,Conversions!$B$7:$C$10,2,FALSE)</f>
        <v>0</v>
      </c>
      <c r="U17" s="144">
        <f ca="1">SUM(P17:T17)</f>
        <v>70567.604568673647</v>
      </c>
      <c r="V17" s="49">
        <f ca="1">+'Units Sold'!R12*IF('Product Masses'!P12="X",0,'Product Masses'!P12)*VLOOKUP($F$4,Conversions!$B$7:$C$10,2,FALSE)</f>
        <v>1387.6824505081104</v>
      </c>
      <c r="W17" s="49">
        <f ca="1">+'Units Sold'!S12*IF('Product Masses'!Q12="X",0,'Product Masses'!Q12)*VLOOKUP($F$4,Conversions!$B$7:$C$10,2,FALSE)</f>
        <v>1770.4091734563513</v>
      </c>
      <c r="X17" s="49">
        <f ca="1">+'Units Sold'!T12*IF('Product Masses'!R12="X",0,'Product Masses'!R12)*VLOOKUP($F$4,Conversions!$B$7:$C$10,2,FALSE)</f>
        <v>0</v>
      </c>
    </row>
    <row r="18" spans="2:24" s="43" customFormat="1" x14ac:dyDescent="0.5">
      <c r="B18" s="44" t="s">
        <v>34</v>
      </c>
      <c r="G18" s="102">
        <f ca="1">SUM(G14:G17)</f>
        <v>24465</v>
      </c>
      <c r="H18" s="103">
        <f ca="1">SUM(H14:H17)</f>
        <v>762655.61559508939</v>
      </c>
      <c r="I18" s="308">
        <f ca="1">H18/$H$60</f>
        <v>0.15464755765992264</v>
      </c>
      <c r="J18" s="113"/>
      <c r="K18" s="152">
        <f t="shared" ref="K18:V18" ca="1" si="0">SUM(K14:K17)</f>
        <v>152087.92705749581</v>
      </c>
      <c r="L18" s="152">
        <f t="shared" ca="1" si="0"/>
        <v>182957.42345676216</v>
      </c>
      <c r="M18" s="152">
        <f ca="1">SUM(M14:M17)</f>
        <v>67148.17948174187</v>
      </c>
      <c r="N18" s="152">
        <f ca="1">SUM(N14:N17)</f>
        <v>7863.0549730372513</v>
      </c>
      <c r="O18" s="137">
        <f ca="1">SUM(O14:O17)</f>
        <v>410056.5849690371</v>
      </c>
      <c r="P18" s="151">
        <f t="shared" ca="1" si="0"/>
        <v>42029.489177062227</v>
      </c>
      <c r="Q18" s="152">
        <f t="shared" ca="1" si="0"/>
        <v>79757.768512155744</v>
      </c>
      <c r="R18" s="152">
        <f t="shared" ca="1" si="0"/>
        <v>33523.680456414077</v>
      </c>
      <c r="S18" s="152">
        <f ca="1">SUM(S14:S17)</f>
        <v>188160.09432281734</v>
      </c>
      <c r="T18" s="152">
        <f t="shared" ca="1" si="0"/>
        <v>0</v>
      </c>
      <c r="U18" s="137">
        <f t="shared" ca="1" si="0"/>
        <v>343471.03246844938</v>
      </c>
      <c r="V18" s="152">
        <f t="shared" ca="1" si="0"/>
        <v>7357.5889841465641</v>
      </c>
      <c r="W18" s="152">
        <f t="shared" ref="W18:X18" ca="1" si="1">SUM(W14:W17)</f>
        <v>1770.4091734563513</v>
      </c>
      <c r="X18" s="152">
        <f t="shared" ca="1" si="1"/>
        <v>0</v>
      </c>
    </row>
    <row r="19" spans="2:24" s="1" customFormat="1" ht="7.1" customHeight="1" x14ac:dyDescent="0.5">
      <c r="B19" s="3"/>
      <c r="G19" s="100"/>
      <c r="H19" s="100"/>
      <c r="I19" s="100"/>
      <c r="J19" s="112"/>
      <c r="K19" s="74"/>
      <c r="L19" s="74"/>
      <c r="M19" s="74"/>
      <c r="N19" s="74"/>
      <c r="O19" s="137"/>
      <c r="P19" s="136"/>
      <c r="Q19" s="74"/>
      <c r="R19" s="74"/>
      <c r="S19" s="74"/>
      <c r="T19" s="74"/>
      <c r="U19" s="137"/>
      <c r="V19" s="74"/>
      <c r="W19" s="74"/>
      <c r="X19" s="74"/>
    </row>
    <row r="20" spans="2:24" s="1" customFormat="1" x14ac:dyDescent="0.5">
      <c r="B20" s="10" t="s">
        <v>22</v>
      </c>
      <c r="C20" s="9"/>
      <c r="D20" s="9"/>
      <c r="E20" s="9"/>
      <c r="F20" s="9"/>
      <c r="G20" s="105"/>
      <c r="H20" s="106"/>
      <c r="I20" s="106"/>
      <c r="J20" s="112"/>
      <c r="K20" s="140"/>
      <c r="L20" s="140"/>
      <c r="M20" s="140"/>
      <c r="N20" s="140"/>
      <c r="O20" s="141"/>
      <c r="P20" s="139"/>
      <c r="Q20" s="140"/>
      <c r="R20" s="140"/>
      <c r="S20" s="140"/>
      <c r="T20" s="140"/>
      <c r="U20" s="141"/>
      <c r="V20" s="140"/>
      <c r="W20" s="140"/>
      <c r="X20" s="140"/>
    </row>
    <row r="21" spans="2:24" s="1" customFormat="1" x14ac:dyDescent="0.5">
      <c r="B21" s="2" t="s">
        <v>53</v>
      </c>
      <c r="G21" s="108"/>
      <c r="H21" s="100"/>
      <c r="I21" s="100"/>
      <c r="J21" s="112"/>
      <c r="K21" s="74"/>
      <c r="L21" s="74"/>
      <c r="M21" s="74"/>
      <c r="N21" s="74"/>
      <c r="O21" s="137"/>
      <c r="P21" s="136"/>
      <c r="Q21" s="74"/>
      <c r="R21" s="74"/>
      <c r="S21" s="74"/>
      <c r="T21" s="74"/>
      <c r="U21" s="137"/>
      <c r="V21" s="74"/>
      <c r="W21" s="74"/>
      <c r="X21" s="74"/>
    </row>
    <row r="22" spans="2:24" s="1" customFormat="1" x14ac:dyDescent="0.5">
      <c r="B22" s="2"/>
      <c r="C22" s="2" t="s">
        <v>47</v>
      </c>
      <c r="G22" s="99">
        <f ca="1">+'On or Off Premise'!I17</f>
        <v>11385</v>
      </c>
      <c r="H22" s="99">
        <f ca="1">+SUM(O22,U22:X22)</f>
        <v>49585.415342688044</v>
      </c>
      <c r="I22" s="305">
        <f t="shared" ref="I22:I26" ca="1" si="2">H22/$H$60</f>
        <v>1.0054686835703852E-2</v>
      </c>
      <c r="J22" s="112"/>
      <c r="K22" s="74">
        <f ca="1">+'Units Sold'!G17*IF('Product Masses'!G16="X",0,'Product Masses'!G16)*VLOOKUP($F$4,Conversions!$B$7:$C$10,2,FALSE)</f>
        <v>0</v>
      </c>
      <c r="L22" s="74">
        <f ca="1">+'Units Sold'!H17*IF('Product Masses'!H16="X",0,'Product Masses'!H16)*VLOOKUP($F$4,Conversions!$B$7:$C$10,2,FALSE)</f>
        <v>0</v>
      </c>
      <c r="M22" s="74">
        <f ca="1">+'Units Sold'!I17*IF('Product Masses'!I16="X",0,'Product Masses'!I16)*VLOOKUP($F$4,Conversions!$B$7:$C$10,2,FALSE)</f>
        <v>0</v>
      </c>
      <c r="N22" s="74">
        <f ca="1">+'Units Sold'!J17*IF('Product Masses'!J16="X",0,'Product Masses'!J16)*VLOOKUP($F$4,Conversions!$B$7:$C$10,2,FALSE)</f>
        <v>0</v>
      </c>
      <c r="O22" s="137">
        <f ca="1">SUM(K22:N22)</f>
        <v>0</v>
      </c>
      <c r="P22" s="136">
        <f ca="1">+'Units Sold'!L17*IF('Product Masses'!K16="X",0,'Product Masses'!K16)*VLOOKUP($F$4,Conversions!$B$7:$C$10,2,FALSE)</f>
        <v>0</v>
      </c>
      <c r="Q22" s="74">
        <f ca="1">+'Units Sold'!M17*IF('Product Masses'!L16="X",0,'Product Masses'!L16)*VLOOKUP($F$4,Conversions!$B$7:$C$10,2,FALSE)</f>
        <v>0</v>
      </c>
      <c r="R22" s="74">
        <f ca="1">+'Units Sold'!N17*IF('Product Masses'!M16="X",0,'Product Masses'!M16)*VLOOKUP($F$4,Conversions!$B$7:$C$10,2,FALSE)</f>
        <v>45999.14429587841</v>
      </c>
      <c r="S22" s="74">
        <f ca="1">+'Units Sold'!O17*IF('Product Masses'!N16="X",0,'Product Masses'!N16)*VLOOKUP($F$4,Conversions!$B$7:$C$10,2,FALSE)</f>
        <v>0</v>
      </c>
      <c r="T22" s="74">
        <f ca="1">+'Units Sold'!P17*IF('Product Masses'!O16="X",0,'Product Masses'!O16)*VLOOKUP($F$4,Conversions!$B$7:$C$10,2,FALSE)</f>
        <v>0</v>
      </c>
      <c r="U22" s="137">
        <f t="shared" ref="U22:U25" ca="1" si="3">SUM(P22:T22)</f>
        <v>45999.14429587841</v>
      </c>
      <c r="V22" s="74">
        <f ca="1">+'Units Sold'!R17*IF('Product Masses'!P16="X",0,'Product Masses'!P16)*VLOOKUP($F$4,Conversions!$B$7:$C$10,2,FALSE)</f>
        <v>3586.271046809637</v>
      </c>
      <c r="W22" s="74">
        <f ca="1">+'Units Sold'!S17*IF('Product Masses'!Q16="X",0,'Product Masses'!Q16)*VLOOKUP($F$4,Conversions!$B$7:$C$10,2,FALSE)</f>
        <v>0</v>
      </c>
      <c r="X22" s="74">
        <f ca="1">+'Units Sold'!T17*IF('Product Masses'!R16="X",0,'Product Masses'!R16)*VLOOKUP($F$4,Conversions!$B$7:$C$10,2,FALSE)</f>
        <v>0</v>
      </c>
    </row>
    <row r="23" spans="2:24" s="1" customFormat="1" x14ac:dyDescent="0.5">
      <c r="B23" s="3"/>
      <c r="C23" s="2" t="s">
        <v>48</v>
      </c>
      <c r="E23" s="2"/>
      <c r="F23" s="2"/>
      <c r="G23" s="99">
        <f ca="1">+'On or Off Premise'!I18</f>
        <v>44534</v>
      </c>
      <c r="H23" s="99">
        <f ca="1">+SUM(O23,U23:X23)</f>
        <v>197343.02002446092</v>
      </c>
      <c r="I23" s="305">
        <f t="shared" ca="1" si="2"/>
        <v>4.001624775843661E-2</v>
      </c>
      <c r="J23" s="112"/>
      <c r="K23" s="74">
        <f ca="1">+'Units Sold'!G18*IF('Product Masses'!G17="X",0,'Product Masses'!G17)*VLOOKUP($F$4,Conversions!$B$7:$C$10,2,FALSE)</f>
        <v>0</v>
      </c>
      <c r="L23" s="74">
        <f ca="1">+'Units Sold'!H18*IF('Product Masses'!H17="X",0,'Product Masses'!H17)*VLOOKUP($F$4,Conversions!$B$7:$C$10,2,FALSE)</f>
        <v>0</v>
      </c>
      <c r="M23" s="74">
        <f ca="1">+'Units Sold'!I18*IF('Product Masses'!I17="X",0,'Product Masses'!I17)*VLOOKUP($F$4,Conversions!$B$7:$C$10,2,FALSE)</f>
        <v>0</v>
      </c>
      <c r="N23" s="74">
        <f ca="1">+'Units Sold'!J18*IF('Product Masses'!J17="X",0,'Product Masses'!J17)*VLOOKUP($F$4,Conversions!$B$7:$C$10,2,FALSE)</f>
        <v>0</v>
      </c>
      <c r="O23" s="137">
        <f ca="1">SUM(K23:N23)</f>
        <v>0</v>
      </c>
      <c r="P23" s="136">
        <f ca="1">+'Units Sold'!L18*IF('Product Masses'!K17="X",0,'Product Masses'!K17)*VLOOKUP($F$4,Conversions!$B$7:$C$10,2,FALSE)</f>
        <v>181455.60726002877</v>
      </c>
      <c r="Q23" s="74">
        <f ca="1">+'Units Sold'!M18*IF('Product Masses'!L17="X",0,'Product Masses'!L17)*VLOOKUP($F$4,Conversions!$B$7:$C$10,2,FALSE)</f>
        <v>0</v>
      </c>
      <c r="R23" s="74">
        <f ca="1">+'Units Sold'!N18*IF('Product Masses'!M17="X",0,'Product Masses'!M17)*VLOOKUP($F$4,Conversions!$B$7:$C$10,2,FALSE)</f>
        <v>3417.906509721126</v>
      </c>
      <c r="S23" s="74">
        <f ca="1">+'Units Sold'!O18*IF('Product Masses'!N17="X",0,'Product Masses'!N17)*VLOOKUP($F$4,Conversions!$B$7:$C$10,2,FALSE)</f>
        <v>0</v>
      </c>
      <c r="T23" s="74">
        <f ca="1">+'Units Sold'!P18*IF('Product Masses'!O17="X",0,'Product Masses'!O17)*VLOOKUP($F$4,Conversions!$B$7:$C$10,2,FALSE)</f>
        <v>0</v>
      </c>
      <c r="U23" s="137">
        <f t="shared" ca="1" si="3"/>
        <v>184873.5137697499</v>
      </c>
      <c r="V23" s="74">
        <f ca="1">+'Units Sold'!R18*IF('Product Masses'!P17="X",0,'Product Masses'!P17)*VLOOKUP($F$4,Conversions!$B$7:$C$10,2,FALSE)</f>
        <v>12469.506254711003</v>
      </c>
      <c r="W23" s="74">
        <f ca="1">+'Units Sold'!S18*IF('Product Masses'!Q17="X",0,'Product Masses'!Q17)*VLOOKUP($F$4,Conversions!$B$7:$C$10,2,FALSE)</f>
        <v>0</v>
      </c>
      <c r="X23" s="74">
        <f ca="1">+'Units Sold'!T18*IF('Product Masses'!R17="X",0,'Product Masses'!R17)*VLOOKUP($F$4,Conversions!$B$7:$C$10,2,FALSE)</f>
        <v>0</v>
      </c>
    </row>
    <row r="24" spans="2:24" s="1" customFormat="1" x14ac:dyDescent="0.5">
      <c r="B24" s="2" t="s">
        <v>46</v>
      </c>
      <c r="C24" s="2"/>
      <c r="E24" s="2"/>
      <c r="F24" s="2"/>
      <c r="G24" s="99">
        <f ca="1">+'On or Off Premise'!I19</f>
        <v>20827</v>
      </c>
      <c r="H24" s="99">
        <f ca="1">+SUM(O24,U24:X24)</f>
        <v>41182.223054332695</v>
      </c>
      <c r="I24" s="305">
        <f t="shared" ca="1" si="2"/>
        <v>8.3507288009533383E-3</v>
      </c>
      <c r="J24" s="112"/>
      <c r="K24" s="74">
        <f ca="1">+'Units Sold'!G19*IF('Product Masses'!G18="X",0,'Product Masses'!G18)*VLOOKUP($F$4,Conversions!$B$7:$C$10,2,FALSE)</f>
        <v>0</v>
      </c>
      <c r="L24" s="74">
        <f ca="1">+'Units Sold'!H19*IF('Product Masses'!H18="X",0,'Product Masses'!H18)*VLOOKUP($F$4,Conversions!$B$7:$C$10,2,FALSE)</f>
        <v>0</v>
      </c>
      <c r="M24" s="74">
        <f ca="1">+'Units Sold'!I19*IF('Product Masses'!I18="X",0,'Product Masses'!I18)*VLOOKUP($F$4,Conversions!$B$7:$C$10,2,FALSE)</f>
        <v>0</v>
      </c>
      <c r="N24" s="74">
        <f ca="1">+'Units Sold'!J19*IF('Product Masses'!J18="X",0,'Product Masses'!J18)*VLOOKUP($F$4,Conversions!$B$7:$C$10,2,FALSE)</f>
        <v>0</v>
      </c>
      <c r="O24" s="137">
        <f ca="1">SUM(K24:N24)</f>
        <v>0</v>
      </c>
      <c r="P24" s="136">
        <f ca="1">+'Units Sold'!L19*IF('Product Masses'!K18="X",0,'Product Masses'!K18)*VLOOKUP($F$4,Conversions!$B$7:$C$10,2,FALSE)</f>
        <v>38157.104638957659</v>
      </c>
      <c r="Q24" s="74">
        <f ca="1">+'Units Sold'!M19*IF('Product Masses'!L18="X",0,'Product Masses'!L18)*VLOOKUP($F$4,Conversions!$B$7:$C$10,2,FALSE)</f>
        <v>0</v>
      </c>
      <c r="R24" s="74">
        <f ca="1">+'Units Sold'!N19*IF('Product Masses'!M18="X",0,'Product Masses'!M18)*VLOOKUP($F$4,Conversions!$B$7:$C$10,2,FALSE)</f>
        <v>0</v>
      </c>
      <c r="S24" s="74">
        <f ca="1">+'Units Sold'!O19*IF('Product Masses'!N18="X",0,'Product Masses'!N18)*VLOOKUP($F$4,Conversions!$B$7:$C$10,2,FALSE)</f>
        <v>0</v>
      </c>
      <c r="T24" s="74">
        <f ca="1">+'Units Sold'!P19*IF('Product Masses'!O18="X",0,'Product Masses'!O18)*VLOOKUP($F$4,Conversions!$B$7:$C$10,2,FALSE)</f>
        <v>0</v>
      </c>
      <c r="U24" s="137">
        <f t="shared" ca="1" si="3"/>
        <v>38157.104638957659</v>
      </c>
      <c r="V24" s="74">
        <f ca="1">+'Units Sold'!R19*IF('Product Masses'!P18="X",0,'Product Masses'!P18)*VLOOKUP($F$4,Conversions!$B$7:$C$10,2,FALSE)</f>
        <v>3025.1184153750341</v>
      </c>
      <c r="W24" s="74">
        <f ca="1">+'Units Sold'!S19*IF('Product Masses'!Q18="X",0,'Product Masses'!Q18)*VLOOKUP($F$4,Conversions!$B$7:$C$10,2,FALSE)</f>
        <v>0</v>
      </c>
      <c r="X24" s="74">
        <f ca="1">+'Units Sold'!T19*IF('Product Masses'!R18="X",0,'Product Masses'!R18)*VLOOKUP($F$4,Conversions!$B$7:$C$10,2,FALSE)</f>
        <v>0</v>
      </c>
    </row>
    <row r="25" spans="2:24" s="1" customFormat="1" x14ac:dyDescent="0.5">
      <c r="B25" s="47" t="s">
        <v>8</v>
      </c>
      <c r="C25" s="48"/>
      <c r="D25" s="48"/>
      <c r="E25" s="47"/>
      <c r="F25" s="47"/>
      <c r="G25" s="101">
        <f ca="1">+'On or Off Premise'!I20</f>
        <v>5746</v>
      </c>
      <c r="H25" s="101">
        <f ca="1">+SUM(O25,U25:X25)</f>
        <v>99007.846867040644</v>
      </c>
      <c r="I25" s="307">
        <f t="shared" ca="1" si="2"/>
        <v>2.0076324613709493E-2</v>
      </c>
      <c r="J25" s="112"/>
      <c r="K25" s="49">
        <f ca="1">+'Units Sold'!G20*IF('Product Masses'!G19="X",0,'Product Masses'!G19)*VLOOKUP($F$4,Conversions!$B$7:$C$10,2,FALSE)</f>
        <v>0</v>
      </c>
      <c r="L25" s="49">
        <f ca="1">+'Units Sold'!H20*IF('Product Masses'!H19="X",0,'Product Masses'!H19)*VLOOKUP($F$4,Conversions!$B$7:$C$10,2,FALSE)</f>
        <v>0</v>
      </c>
      <c r="M25" s="49">
        <f ca="1">+'Units Sold'!I20*IF('Product Masses'!I19="X",0,'Product Masses'!I19)*VLOOKUP($F$4,Conversions!$B$7:$C$10,2,FALSE)</f>
        <v>1266.9916033796858</v>
      </c>
      <c r="N25" s="49">
        <f ca="1">+'Units Sold'!J20*IF('Product Masses'!J19="X",0,'Product Masses'!J19)*VLOOKUP($F$4,Conversions!$B$7:$C$10,2,FALSE)</f>
        <v>0</v>
      </c>
      <c r="O25" s="144">
        <f ca="1">SUM(K25:N25)</f>
        <v>1266.9916033796858</v>
      </c>
      <c r="P25" s="143">
        <f ca="1">+'Units Sold'!L20*IF('Product Masses'!K19="X",0,'Product Masses'!K19)*VLOOKUP($F$4,Conversions!$B$7:$C$10,2,FALSE)</f>
        <v>35165.481236660664</v>
      </c>
      <c r="Q25" s="49">
        <f ca="1">+'Units Sold'!M20*IF('Product Masses'!L19="X",0,'Product Masses'!L19)*VLOOKUP($F$4,Conversions!$B$7:$C$10,2,FALSE)</f>
        <v>60420.919022283219</v>
      </c>
      <c r="R25" s="49">
        <f ca="1">+'Units Sold'!N20*IF('Product Masses'!M19="X",0,'Product Masses'!M19)*VLOOKUP($F$4,Conversions!$B$7:$C$10,2,FALSE)</f>
        <v>1634.0169488031659</v>
      </c>
      <c r="S25" s="49">
        <f ca="1">+'Units Sold'!O20*IF('Product Masses'!N19="X",0,'Product Masses'!N19)*VLOOKUP($F$4,Conversions!$B$7:$C$10,2,FALSE)</f>
        <v>0</v>
      </c>
      <c r="T25" s="49">
        <f ca="1">+'Units Sold'!P20*IF('Product Masses'!O19="X",0,'Product Masses'!O19)*VLOOKUP($F$4,Conversions!$B$7:$C$10,2,FALSE)</f>
        <v>0</v>
      </c>
      <c r="U25" s="144">
        <f t="shared" ca="1" si="3"/>
        <v>97220.417207747043</v>
      </c>
      <c r="V25" s="49">
        <f ca="1">+'Units Sold'!R20*IF('Product Masses'!P19="X",0,'Product Masses'!P19)*VLOOKUP($F$4,Conversions!$B$7:$C$10,2,FALSE)</f>
        <v>520.43805591390958</v>
      </c>
      <c r="W25" s="49">
        <f ca="1">+'Units Sold'!S20*IF('Product Masses'!Q19="X",0,'Product Masses'!Q19)*VLOOKUP($F$4,Conversions!$B$7:$C$10,2,FALSE)</f>
        <v>0</v>
      </c>
      <c r="X25" s="49">
        <f ca="1">+'Units Sold'!T20*IF('Product Masses'!R19="X",0,'Product Masses'!R19)*VLOOKUP($F$4,Conversions!$B$7:$C$10,2,FALSE)</f>
        <v>0</v>
      </c>
    </row>
    <row r="26" spans="2:24" s="43" customFormat="1" x14ac:dyDescent="0.5">
      <c r="B26" s="44" t="s">
        <v>35</v>
      </c>
      <c r="E26" s="44"/>
      <c r="F26" s="44"/>
      <c r="G26" s="102">
        <f ca="1">SUM(G22:G25)</f>
        <v>82492</v>
      </c>
      <c r="H26" s="103">
        <f ca="1">SUM(H22:H25)</f>
        <v>387118.50528852234</v>
      </c>
      <c r="I26" s="308">
        <f t="shared" ca="1" si="2"/>
        <v>7.8497988008803296E-2</v>
      </c>
      <c r="J26" s="113"/>
      <c r="K26" s="152">
        <f ca="1">SUM(K22:K25)</f>
        <v>0</v>
      </c>
      <c r="L26" s="152">
        <f t="shared" ref="L26:V26" ca="1" si="4">SUM(L22:L25)</f>
        <v>0</v>
      </c>
      <c r="M26" s="152">
        <f ca="1">SUM(M22:M25)</f>
        <v>1266.9916033796858</v>
      </c>
      <c r="N26" s="152">
        <f ca="1">SUM(N22:N25)</f>
        <v>0</v>
      </c>
      <c r="O26" s="137">
        <f ca="1">SUM(O22:O25)</f>
        <v>1266.9916033796858</v>
      </c>
      <c r="P26" s="151">
        <f t="shared" ca="1" si="4"/>
        <v>254778.1931356471</v>
      </c>
      <c r="Q26" s="152">
        <f t="shared" ca="1" si="4"/>
        <v>60420.919022283219</v>
      </c>
      <c r="R26" s="152">
        <f t="shared" ca="1" si="4"/>
        <v>51051.067754402706</v>
      </c>
      <c r="S26" s="152">
        <f ca="1">SUM(S22:S25)</f>
        <v>0</v>
      </c>
      <c r="T26" s="152">
        <f t="shared" ca="1" si="4"/>
        <v>0</v>
      </c>
      <c r="U26" s="137">
        <f t="shared" ca="1" si="4"/>
        <v>366250.17991233303</v>
      </c>
      <c r="V26" s="152">
        <f t="shared" ca="1" si="4"/>
        <v>19601.333772809583</v>
      </c>
      <c r="W26" s="152">
        <f t="shared" ref="W26" ca="1" si="5">SUM(W22:W25)</f>
        <v>0</v>
      </c>
      <c r="X26" s="152">
        <f t="shared" ref="X26" ca="1" si="6">SUM(X22:X25)</f>
        <v>0</v>
      </c>
    </row>
    <row r="27" spans="2:24" s="1" customFormat="1" ht="7.1" customHeight="1" x14ac:dyDescent="0.5">
      <c r="B27" s="3"/>
      <c r="E27" s="2"/>
      <c r="F27" s="2"/>
      <c r="G27" s="100"/>
      <c r="H27" s="100"/>
      <c r="I27" s="100"/>
      <c r="J27" s="112"/>
      <c r="K27" s="74"/>
      <c r="L27" s="74"/>
      <c r="M27" s="74"/>
      <c r="N27" s="74"/>
      <c r="O27" s="137"/>
      <c r="P27" s="136"/>
      <c r="Q27" s="74"/>
      <c r="R27" s="74"/>
      <c r="S27" s="74"/>
      <c r="T27" s="74"/>
      <c r="U27" s="137"/>
      <c r="V27" s="74"/>
      <c r="W27" s="74"/>
      <c r="X27" s="74"/>
    </row>
    <row r="28" spans="2:24" s="1" customFormat="1" x14ac:dyDescent="0.5">
      <c r="B28" s="7" t="s">
        <v>23</v>
      </c>
      <c r="C28" s="9"/>
      <c r="D28" s="9"/>
      <c r="E28" s="9"/>
      <c r="F28" s="9"/>
      <c r="G28" s="105"/>
      <c r="H28" s="107"/>
      <c r="I28" s="107"/>
      <c r="J28" s="112"/>
      <c r="K28" s="140"/>
      <c r="L28" s="140"/>
      <c r="M28" s="140"/>
      <c r="N28" s="140"/>
      <c r="O28" s="141"/>
      <c r="P28" s="139"/>
      <c r="Q28" s="140"/>
      <c r="R28" s="140"/>
      <c r="S28" s="140"/>
      <c r="T28" s="140"/>
      <c r="U28" s="141"/>
      <c r="V28" s="140"/>
      <c r="W28" s="140"/>
      <c r="X28" s="140"/>
    </row>
    <row r="29" spans="2:24" s="1" customFormat="1" x14ac:dyDescent="0.5">
      <c r="B29" s="2" t="s">
        <v>45</v>
      </c>
      <c r="C29" s="2"/>
      <c r="F29" s="2"/>
      <c r="G29" s="99">
        <f ca="1">+'On or Off Premise'!I24</f>
        <v>24029</v>
      </c>
      <c r="H29" s="99">
        <f ca="1">+SUM(O29,U29:X29)</f>
        <v>885843.12664930534</v>
      </c>
      <c r="I29" s="305">
        <f t="shared" ref="I29:I31" ca="1" si="7">H29/$H$60</f>
        <v>0.17962691574656608</v>
      </c>
      <c r="J29" s="112"/>
      <c r="K29" s="74">
        <f ca="1">+'Units Sold'!G24*IF('Product Masses'!G22="X",0,'Product Masses'!G22)*VLOOKUP($F$4,Conversions!$B$7:$C$10,2,FALSE)</f>
        <v>0</v>
      </c>
      <c r="L29" s="74">
        <f ca="1">+'Units Sold'!H24*IF('Product Masses'!H22="X",0,'Product Masses'!H22)*VLOOKUP($F$4,Conversions!$B$7:$C$10,2,FALSE)</f>
        <v>714686.7506895893</v>
      </c>
      <c r="M29" s="74">
        <f ca="1">+'Units Sold'!I24*IF('Product Masses'!I22="X",0,'Product Masses'!I22)*VLOOKUP($F$4,Conversions!$B$7:$C$10,2,FALSE)</f>
        <v>0</v>
      </c>
      <c r="N29" s="74">
        <f ca="1">+'Units Sold'!J24*IF('Product Masses'!J22="X",0,'Product Masses'!J22)*VLOOKUP($F$4,Conversions!$B$7:$C$10,2,FALSE)</f>
        <v>0</v>
      </c>
      <c r="O29" s="137">
        <f ca="1">SUM(K29:N29)</f>
        <v>714686.7506895893</v>
      </c>
      <c r="P29" s="136">
        <f ca="1">+'Units Sold'!L24*IF('Product Masses'!K22="X",0,'Product Masses'!K22)*VLOOKUP($F$4,Conversions!$B$7:$C$10,2,FALSE)</f>
        <v>0</v>
      </c>
      <c r="Q29" s="74">
        <f ca="1">+'Units Sold'!M24*IF('Product Masses'!L22="X",0,'Product Masses'!L22)*VLOOKUP($F$4,Conversions!$B$7:$C$10,2,FALSE)</f>
        <v>0</v>
      </c>
      <c r="R29" s="74">
        <f ca="1">+'Units Sold'!N24*IF('Product Masses'!M22="X",0,'Product Masses'!M22)*VLOOKUP($F$4,Conversions!$B$7:$C$10,2,FALSE)</f>
        <v>0</v>
      </c>
      <c r="S29" s="74">
        <f ca="1">+'Units Sold'!O24*IF('Product Masses'!N22="X",0,'Product Masses'!N22)*VLOOKUP($F$4,Conversions!$B$7:$C$10,2,FALSE)</f>
        <v>0</v>
      </c>
      <c r="T29" s="74">
        <f ca="1">+'Units Sold'!P24*IF('Product Masses'!O22="X",0,'Product Masses'!O22)*VLOOKUP($F$4,Conversions!$B$7:$C$10,2,FALSE)</f>
        <v>171156.37595971607</v>
      </c>
      <c r="U29" s="137">
        <f t="shared" ref="U29:U30" ca="1" si="8">SUM(P29:T29)</f>
        <v>171156.37595971607</v>
      </c>
      <c r="V29" s="74">
        <f ca="1">+'Units Sold'!R24*IF('Product Masses'!P22="X",0,'Product Masses'!P22)*VLOOKUP($F$4,Conversions!$B$7:$C$10,2,FALSE)</f>
        <v>0</v>
      </c>
      <c r="W29" s="74">
        <f ca="1">+'Units Sold'!S24*IF('Product Masses'!Q22="X",0,'Product Masses'!Q22)*VLOOKUP($F$4,Conversions!$B$7:$C$10,2,FALSE)</f>
        <v>0</v>
      </c>
      <c r="X29" s="74">
        <f ca="1">+'Units Sold'!T24*IF('Product Masses'!R22="X",0,'Product Masses'!R22)*VLOOKUP($F$4,Conversions!$B$7:$C$10,2,FALSE)</f>
        <v>0</v>
      </c>
    </row>
    <row r="30" spans="2:24" s="1" customFormat="1" x14ac:dyDescent="0.5">
      <c r="B30" s="47" t="s">
        <v>9</v>
      </c>
      <c r="C30" s="48"/>
      <c r="D30" s="48"/>
      <c r="E30" s="47"/>
      <c r="F30" s="47"/>
      <c r="G30" s="101">
        <f ca="1">+'On or Off Premise'!I25</f>
        <v>1265</v>
      </c>
      <c r="H30" s="101">
        <f ca="1">+SUM(O30,U30:X30)</f>
        <v>6865.109099764657</v>
      </c>
      <c r="I30" s="307">
        <f t="shared" ca="1" si="7"/>
        <v>1.3920730846767666E-3</v>
      </c>
      <c r="J30" s="112"/>
      <c r="K30" s="49">
        <f ca="1">+'Units Sold'!G25*IF('Product Masses'!G23="X",0,'Product Masses'!G23)*VLOOKUP($F$4,Conversions!$B$7:$C$10,2,FALSE)</f>
        <v>6865.109099764657</v>
      </c>
      <c r="L30" s="49">
        <f ca="1">+'Units Sold'!H25*IF('Product Masses'!H23="X",0,'Product Masses'!H23)*VLOOKUP($F$4,Conversions!$B$7:$C$10,2,FALSE)</f>
        <v>0</v>
      </c>
      <c r="M30" s="49">
        <f ca="1">+'Units Sold'!I25*IF('Product Masses'!I23="X",0,'Product Masses'!I23)*VLOOKUP($F$4,Conversions!$B$7:$C$10,2,FALSE)</f>
        <v>0</v>
      </c>
      <c r="N30" s="49">
        <f ca="1">+'Units Sold'!J25*IF('Product Masses'!J23="X",0,'Product Masses'!J23)*VLOOKUP($F$4,Conversions!$B$7:$C$10,2,FALSE)</f>
        <v>0</v>
      </c>
      <c r="O30" s="144">
        <f ca="1">SUM(K30:N30)</f>
        <v>6865.109099764657</v>
      </c>
      <c r="P30" s="143">
        <f ca="1">+'Units Sold'!L25*IF('Product Masses'!K23="X",0,'Product Masses'!K23)*VLOOKUP($F$4,Conversions!$B$7:$C$10,2,FALSE)</f>
        <v>0</v>
      </c>
      <c r="Q30" s="49">
        <f ca="1">+'Units Sold'!M25*IF('Product Masses'!L23="X",0,'Product Masses'!L23)*VLOOKUP($F$4,Conversions!$B$7:$C$10,2,FALSE)</f>
        <v>0</v>
      </c>
      <c r="R30" s="49">
        <f ca="1">+'Units Sold'!N25*IF('Product Masses'!M23="X",0,'Product Masses'!M23)*VLOOKUP($F$4,Conversions!$B$7:$C$10,2,FALSE)</f>
        <v>0</v>
      </c>
      <c r="S30" s="49">
        <f ca="1">+'Units Sold'!O25*IF('Product Masses'!N23="X",0,'Product Masses'!N23)*VLOOKUP($F$4,Conversions!$B$7:$C$10,2,FALSE)</f>
        <v>0</v>
      </c>
      <c r="T30" s="49">
        <f ca="1">+'Units Sold'!P25*IF('Product Masses'!O23="X",0,'Product Masses'!O23)*VLOOKUP($F$4,Conversions!$B$7:$C$10,2,FALSE)</f>
        <v>0</v>
      </c>
      <c r="U30" s="144">
        <f t="shared" ca="1" si="8"/>
        <v>0</v>
      </c>
      <c r="V30" s="49">
        <f ca="1">+'Units Sold'!R25*IF('Product Masses'!P23="X",0,'Product Masses'!P23)*VLOOKUP($F$4,Conversions!$B$7:$C$10,2,FALSE)</f>
        <v>0</v>
      </c>
      <c r="W30" s="49">
        <f ca="1">+'Units Sold'!S25*IF('Product Masses'!Q23="X",0,'Product Masses'!Q23)*VLOOKUP($F$4,Conversions!$B$7:$C$10,2,FALSE)</f>
        <v>0</v>
      </c>
      <c r="X30" s="49">
        <f ca="1">+'Units Sold'!T25*IF('Product Masses'!R23="X",0,'Product Masses'!R23)*VLOOKUP($F$4,Conversions!$B$7:$C$10,2,FALSE)</f>
        <v>0</v>
      </c>
    </row>
    <row r="31" spans="2:24" s="43" customFormat="1" x14ac:dyDescent="0.5">
      <c r="B31" s="44" t="s">
        <v>36</v>
      </c>
      <c r="E31" s="44"/>
      <c r="F31" s="44"/>
      <c r="G31" s="103">
        <f ca="1">SUM(G29:G30)</f>
        <v>25294</v>
      </c>
      <c r="H31" s="103">
        <f ca="1">SUM(H29:H30)</f>
        <v>892708.23574906995</v>
      </c>
      <c r="I31" s="308">
        <f t="shared" ca="1" si="7"/>
        <v>0.18101898883124284</v>
      </c>
      <c r="J31" s="113"/>
      <c r="K31" s="152">
        <f t="shared" ref="K31:V31" ca="1" si="9">SUM(K29:K30)</f>
        <v>6865.109099764657</v>
      </c>
      <c r="L31" s="152">
        <f t="shared" ca="1" si="9"/>
        <v>714686.7506895893</v>
      </c>
      <c r="M31" s="152">
        <f ca="1">SUM(M29:M30)</f>
        <v>0</v>
      </c>
      <c r="N31" s="152">
        <f ca="1">SUM(N29:N30)</f>
        <v>0</v>
      </c>
      <c r="O31" s="137">
        <f t="shared" ca="1" si="9"/>
        <v>721551.85978935391</v>
      </c>
      <c r="P31" s="151">
        <f t="shared" ca="1" si="9"/>
        <v>0</v>
      </c>
      <c r="Q31" s="152">
        <f t="shared" ca="1" si="9"/>
        <v>0</v>
      </c>
      <c r="R31" s="152">
        <f t="shared" ca="1" si="9"/>
        <v>0</v>
      </c>
      <c r="S31" s="152">
        <f ca="1">SUM(S29:S30)</f>
        <v>0</v>
      </c>
      <c r="T31" s="152">
        <f t="shared" ca="1" si="9"/>
        <v>171156.37595971607</v>
      </c>
      <c r="U31" s="137">
        <f t="shared" ca="1" si="9"/>
        <v>171156.37595971607</v>
      </c>
      <c r="V31" s="152">
        <f t="shared" ca="1" si="9"/>
        <v>0</v>
      </c>
      <c r="W31" s="152">
        <f t="shared" ref="W31:X31" ca="1" si="10">SUM(W29:W30)</f>
        <v>0</v>
      </c>
      <c r="X31" s="152">
        <f t="shared" ca="1" si="10"/>
        <v>0</v>
      </c>
    </row>
    <row r="32" spans="2:24" s="1" customFormat="1" ht="7.1" customHeight="1" x14ac:dyDescent="0.5">
      <c r="B32" s="3"/>
      <c r="G32" s="100"/>
      <c r="H32" s="100"/>
      <c r="I32" s="100"/>
      <c r="J32" s="112"/>
      <c r="K32" s="74"/>
      <c r="L32" s="74"/>
      <c r="M32" s="74"/>
      <c r="N32" s="74"/>
      <c r="O32" s="137"/>
      <c r="P32" s="136"/>
      <c r="Q32" s="74"/>
      <c r="R32" s="74"/>
      <c r="S32" s="74"/>
      <c r="T32" s="74"/>
      <c r="U32" s="137"/>
      <c r="V32" s="74"/>
      <c r="W32" s="74"/>
      <c r="X32" s="74"/>
    </row>
    <row r="33" spans="2:24" s="1" customFormat="1" x14ac:dyDescent="0.5">
      <c r="B33" s="7" t="s">
        <v>10</v>
      </c>
      <c r="C33" s="9"/>
      <c r="D33" s="9"/>
      <c r="E33" s="9"/>
      <c r="F33" s="9"/>
      <c r="G33" s="105"/>
      <c r="H33" s="105"/>
      <c r="I33" s="105"/>
      <c r="J33" s="112"/>
      <c r="K33" s="140"/>
      <c r="L33" s="140"/>
      <c r="M33" s="140"/>
      <c r="N33" s="140"/>
      <c r="O33" s="141"/>
      <c r="P33" s="139"/>
      <c r="Q33" s="140"/>
      <c r="R33" s="140"/>
      <c r="S33" s="140"/>
      <c r="T33" s="140"/>
      <c r="U33" s="141"/>
      <c r="V33" s="140"/>
      <c r="W33" s="140"/>
      <c r="X33" s="140"/>
    </row>
    <row r="34" spans="2:24" s="1" customFormat="1" x14ac:dyDescent="0.5">
      <c r="B34" s="2" t="s">
        <v>49</v>
      </c>
      <c r="G34" s="99">
        <f ca="1">+'On or Off Premise'!I29</f>
        <v>17816</v>
      </c>
      <c r="H34" s="99">
        <f ca="1">+SUM(O34,U34:X34)</f>
        <v>198675.06227140973</v>
      </c>
      <c r="I34" s="305">
        <f t="shared" ref="I34:I36" ca="1" si="11">H34/$H$60</f>
        <v>4.0286352738952265E-2</v>
      </c>
      <c r="J34" s="112"/>
      <c r="K34" s="74">
        <f ca="1">+'Units Sold'!G29*IF('Product Masses'!G26="X",0,'Product Masses'!G26)*VLOOKUP($F$4,Conversions!$B$7:$C$10,2,FALSE)</f>
        <v>170664.93514604412</v>
      </c>
      <c r="L34" s="74">
        <f ca="1">+'Units Sold'!H29*IF('Product Masses'!H26="X",0,'Product Masses'!H26)*VLOOKUP($F$4,Conversions!$B$7:$C$10,2,FALSE)</f>
        <v>0</v>
      </c>
      <c r="M34" s="74">
        <f ca="1">+'Units Sold'!I29*IF('Product Masses'!I26="X",0,'Product Masses'!I26)*VLOOKUP($F$4,Conversions!$B$7:$C$10,2,FALSE)</f>
        <v>0</v>
      </c>
      <c r="N34" s="74">
        <f ca="1">+'Units Sold'!J29*IF('Product Masses'!J26="X",0,'Product Masses'!J26)*VLOOKUP($F$4,Conversions!$B$7:$C$10,2,FALSE)</f>
        <v>0</v>
      </c>
      <c r="O34" s="137">
        <f ca="1">SUM(K34:N34)</f>
        <v>170664.93514604412</v>
      </c>
      <c r="P34" s="136">
        <f ca="1">+'Units Sold'!L29*IF('Product Masses'!K26="X",0,'Product Masses'!K26)*VLOOKUP($F$4,Conversions!$B$7:$C$10,2,FALSE)</f>
        <v>0</v>
      </c>
      <c r="Q34" s="74">
        <f ca="1">+'Units Sold'!M29*IF('Product Masses'!L26="X",0,'Product Masses'!L26)*VLOOKUP($F$4,Conversions!$B$7:$C$10,2,FALSE)</f>
        <v>0</v>
      </c>
      <c r="R34" s="74">
        <f ca="1">+'Units Sold'!N29*IF('Product Masses'!M26="X",0,'Product Masses'!M26)*VLOOKUP($F$4,Conversions!$B$7:$C$10,2,FALSE)</f>
        <v>0</v>
      </c>
      <c r="S34" s="74">
        <f ca="1">+'Units Sold'!O29*IF('Product Masses'!N26="X",0,'Product Masses'!N26)*VLOOKUP($F$4,Conversions!$B$7:$C$10,2,FALSE)</f>
        <v>28010.127125365612</v>
      </c>
      <c r="T34" s="74">
        <f ca="1">+'Units Sold'!P29*IF('Product Masses'!O26="X",0,'Product Masses'!O26)*VLOOKUP($F$4,Conversions!$B$7:$C$10,2,FALSE)</f>
        <v>0</v>
      </c>
      <c r="U34" s="137">
        <f t="shared" ref="U34:U35" ca="1" si="12">SUM(P34:T34)</f>
        <v>28010.127125365612</v>
      </c>
      <c r="V34" s="74">
        <f ca="1">+'Units Sold'!R29*IF('Product Masses'!P26="X",0,'Product Masses'!P26)*VLOOKUP($F$4,Conversions!$B$7:$C$10,2,FALSE)</f>
        <v>0</v>
      </c>
      <c r="W34" s="74">
        <f ca="1">+'Units Sold'!S29*IF('Product Masses'!Q26="X",0,'Product Masses'!Q26)*VLOOKUP($F$4,Conversions!$B$7:$C$10,2,FALSE)</f>
        <v>0</v>
      </c>
      <c r="X34" s="74">
        <f ca="1">+'Units Sold'!T29*IF('Product Masses'!R26="X",0,'Product Masses'!R26)*VLOOKUP($F$4,Conversions!$B$7:$C$10,2,FALSE)</f>
        <v>0</v>
      </c>
    </row>
    <row r="35" spans="2:24" s="1" customFormat="1" x14ac:dyDescent="0.5">
      <c r="B35" s="47" t="s">
        <v>7</v>
      </c>
      <c r="C35" s="48"/>
      <c r="D35" s="48"/>
      <c r="E35" s="48"/>
      <c r="F35" s="48"/>
      <c r="G35" s="101">
        <f ca="1">+'On or Off Premise'!I30</f>
        <v>62868</v>
      </c>
      <c r="H35" s="101">
        <f ca="1">+SUM(O35,U35:X35)</f>
        <v>909734.6536432741</v>
      </c>
      <c r="I35" s="307">
        <f t="shared" ca="1" si="11"/>
        <v>0.1844715221755116</v>
      </c>
      <c r="J35" s="112"/>
      <c r="K35" s="49">
        <f ca="1">+'Units Sold'!G30*IF('Product Masses'!G27="X",0,'Product Masses'!G27)*VLOOKUP($F$4,Conversions!$B$7:$C$10,2,FALSE)</f>
        <v>330496.28310997738</v>
      </c>
      <c r="L35" s="49">
        <f ca="1">+'Units Sold'!H30*IF('Product Masses'!H27="X",0,'Product Masses'!H27)*VLOOKUP($F$4,Conversions!$B$7:$C$10,2,FALSE)</f>
        <v>0</v>
      </c>
      <c r="M35" s="49">
        <f ca="1">+'Units Sold'!I30*IF('Product Masses'!I27="X",0,'Product Masses'!I27)*VLOOKUP($F$4,Conversions!$B$7:$C$10,2,FALSE)</f>
        <v>0</v>
      </c>
      <c r="N35" s="49">
        <f ca="1">+'Units Sold'!J30*IF('Product Masses'!J27="X",0,'Product Masses'!J27)*VLOOKUP($F$4,Conversions!$B$7:$C$10,2,FALSE)</f>
        <v>0</v>
      </c>
      <c r="O35" s="144">
        <f ca="1">SUM(K35:N35)</f>
        <v>330496.28310997738</v>
      </c>
      <c r="P35" s="143">
        <f ca="1">+'Units Sold'!L30*IF('Product Masses'!K27="X",0,'Product Masses'!K27)*VLOOKUP($F$4,Conversions!$B$7:$C$10,2,FALSE)</f>
        <v>185460.39561671656</v>
      </c>
      <c r="Q35" s="49">
        <f ca="1">+'Units Sold'!M30*IF('Product Masses'!L27="X",0,'Product Masses'!L27)*VLOOKUP($F$4,Conversions!$B$7:$C$10,2,FALSE)</f>
        <v>228996.51420300268</v>
      </c>
      <c r="R35" s="49">
        <f ca="1">+'Units Sold'!N30*IF('Product Masses'!M27="X",0,'Product Masses'!M27)*VLOOKUP($F$4,Conversions!$B$7:$C$10,2,FALSE)</f>
        <v>6411.7430822573133</v>
      </c>
      <c r="S35" s="49">
        <f ca="1">+'Units Sold'!O30*IF('Product Masses'!N27="X",0,'Product Masses'!N27)*VLOOKUP($F$4,Conversions!$B$7:$C$10,2,FALSE)</f>
        <v>127036.3409635538</v>
      </c>
      <c r="T35" s="49">
        <f ca="1">+'Units Sold'!P30*IF('Product Masses'!O27="X",0,'Product Masses'!O27)*VLOOKUP($F$4,Conversions!$B$7:$C$10,2,FALSE)</f>
        <v>0</v>
      </c>
      <c r="U35" s="144">
        <f t="shared" ca="1" si="12"/>
        <v>547904.99386553036</v>
      </c>
      <c r="V35" s="49">
        <f ca="1">+'Units Sold'!R30*IF('Product Masses'!P27="X",0,'Product Masses'!P27)*VLOOKUP($F$4,Conversions!$B$7:$C$10,2,FALSE)</f>
        <v>31333.376667766333</v>
      </c>
      <c r="W35" s="49">
        <f ca="1">+'Units Sold'!S30*IF('Product Masses'!Q27="X",0,'Product Masses'!Q27)*VLOOKUP($F$4,Conversions!$B$7:$C$10,2,FALSE)</f>
        <v>0</v>
      </c>
      <c r="X35" s="49">
        <f ca="1">+'Units Sold'!T30*IF('Product Masses'!R27="X",0,'Product Masses'!R27)*VLOOKUP($F$4,Conversions!$B$7:$C$10,2,FALSE)</f>
        <v>0</v>
      </c>
    </row>
    <row r="36" spans="2:24" s="43" customFormat="1" x14ac:dyDescent="0.5">
      <c r="B36" s="44" t="s">
        <v>57</v>
      </c>
      <c r="G36" s="102">
        <f ca="1">SUM(G34:G35)</f>
        <v>80684</v>
      </c>
      <c r="H36" s="102">
        <f ca="1">SUM(H34:H35)</f>
        <v>1108409.7159146839</v>
      </c>
      <c r="I36" s="308">
        <f t="shared" ca="1" si="11"/>
        <v>0.22475787491446389</v>
      </c>
      <c r="J36" s="113"/>
      <c r="K36" s="152">
        <f t="shared" ref="K36:V36" ca="1" si="13">SUM(K34:K35)</f>
        <v>501161.2182560215</v>
      </c>
      <c r="L36" s="152">
        <f t="shared" ca="1" si="13"/>
        <v>0</v>
      </c>
      <c r="M36" s="152">
        <f ca="1">SUM(M34:M35)</f>
        <v>0</v>
      </c>
      <c r="N36" s="152">
        <f ca="1">SUM(N34:N35)</f>
        <v>0</v>
      </c>
      <c r="O36" s="137">
        <f t="shared" ca="1" si="13"/>
        <v>501161.2182560215</v>
      </c>
      <c r="P36" s="151">
        <f t="shared" ca="1" si="13"/>
        <v>185460.39561671656</v>
      </c>
      <c r="Q36" s="152">
        <f t="shared" ca="1" si="13"/>
        <v>228996.51420300268</v>
      </c>
      <c r="R36" s="152">
        <f t="shared" ca="1" si="13"/>
        <v>6411.7430822573133</v>
      </c>
      <c r="S36" s="152">
        <f ca="1">SUM(S34:S35)</f>
        <v>155046.46808891941</v>
      </c>
      <c r="T36" s="152">
        <f t="shared" ca="1" si="13"/>
        <v>0</v>
      </c>
      <c r="U36" s="137">
        <f t="shared" ca="1" si="13"/>
        <v>575915.12099089602</v>
      </c>
      <c r="V36" s="152">
        <f t="shared" ca="1" si="13"/>
        <v>31333.376667766333</v>
      </c>
      <c r="W36" s="152">
        <f t="shared" ref="W36:X36" ca="1" si="14">SUM(W34:W35)</f>
        <v>0</v>
      </c>
      <c r="X36" s="152">
        <f t="shared" ca="1" si="14"/>
        <v>0</v>
      </c>
    </row>
    <row r="37" spans="2:24" s="1" customFormat="1" ht="7.1" customHeight="1" x14ac:dyDescent="0.5">
      <c r="B37" s="3"/>
      <c r="G37" s="109"/>
      <c r="H37" s="100"/>
      <c r="I37" s="100"/>
      <c r="J37" s="112"/>
      <c r="K37" s="74"/>
      <c r="L37" s="74"/>
      <c r="M37" s="74"/>
      <c r="N37" s="74"/>
      <c r="O37" s="137"/>
      <c r="P37" s="136"/>
      <c r="Q37" s="74"/>
      <c r="R37" s="74"/>
      <c r="S37" s="74"/>
      <c r="T37" s="74"/>
      <c r="U37" s="137"/>
      <c r="V37" s="74"/>
      <c r="W37" s="74"/>
      <c r="X37" s="74"/>
    </row>
    <row r="38" spans="2:24" s="1" customFormat="1" x14ac:dyDescent="0.5">
      <c r="B38" s="7" t="s">
        <v>24</v>
      </c>
      <c r="C38" s="9"/>
      <c r="D38" s="9"/>
      <c r="E38" s="9"/>
      <c r="F38" s="9"/>
      <c r="G38" s="105"/>
      <c r="H38" s="107"/>
      <c r="I38" s="107"/>
      <c r="J38" s="112"/>
      <c r="K38" s="140"/>
      <c r="L38" s="140"/>
      <c r="M38" s="140"/>
      <c r="N38" s="140"/>
      <c r="O38" s="141"/>
      <c r="P38" s="139"/>
      <c r="Q38" s="140"/>
      <c r="R38" s="140"/>
      <c r="S38" s="140"/>
      <c r="T38" s="140"/>
      <c r="U38" s="141"/>
      <c r="V38" s="140"/>
      <c r="W38" s="140"/>
      <c r="X38" s="140"/>
    </row>
    <row r="39" spans="2:24" s="1" customFormat="1" x14ac:dyDescent="0.5">
      <c r="B39" s="2" t="s">
        <v>12</v>
      </c>
      <c r="G39" s="108"/>
      <c r="H39" s="100"/>
      <c r="I39" s="100"/>
      <c r="J39" s="112"/>
      <c r="K39" s="74"/>
      <c r="L39" s="74"/>
      <c r="M39" s="74"/>
      <c r="N39" s="74"/>
      <c r="O39" s="137"/>
      <c r="P39" s="136"/>
      <c r="Q39" s="74"/>
      <c r="R39" s="74"/>
      <c r="S39" s="74"/>
      <c r="T39" s="74"/>
      <c r="U39" s="137"/>
      <c r="V39" s="74"/>
      <c r="W39" s="74"/>
      <c r="X39" s="74"/>
    </row>
    <row r="40" spans="2:24" s="1" customFormat="1" x14ac:dyDescent="0.5">
      <c r="B40" s="3"/>
      <c r="C40" s="2" t="s">
        <v>13</v>
      </c>
      <c r="D40" s="2"/>
      <c r="F40" s="2"/>
      <c r="G40" s="99">
        <f ca="1">+'On or Off Premise'!I35</f>
        <v>10559</v>
      </c>
      <c r="H40" s="99">
        <f ca="1">+SUM(O40,U40:X40)</f>
        <v>149500.72887695234</v>
      </c>
      <c r="I40" s="305">
        <f ca="1">H40/$H$60</f>
        <v>3.0315023080448703E-2</v>
      </c>
      <c r="J40" s="112"/>
      <c r="K40" s="74">
        <f ca="1">+'Units Sold'!G35*IF('Product Masses'!G31="X",0,'Product Masses'!G31)*VLOOKUP($F$4,Conversions!$B$7:$C$10,2,FALSE)</f>
        <v>33220.017234224557</v>
      </c>
      <c r="L40" s="74">
        <f ca="1">+'Units Sold'!H35*IF('Product Masses'!H31="X",0,'Product Masses'!H31)*VLOOKUP($F$4,Conversions!$B$7:$C$10,2,FALSE)</f>
        <v>0</v>
      </c>
      <c r="M40" s="74">
        <f ca="1">+'Units Sold'!I35*IF('Product Masses'!I31="X",0,'Product Masses'!I31)*VLOOKUP($F$4,Conversions!$B$7:$C$10,2,FALSE)</f>
        <v>49402.866792616725</v>
      </c>
      <c r="N40" s="74">
        <f ca="1">+'Units Sold'!J35*IF('Product Masses'!J31="X",0,'Product Masses'!J31)*VLOOKUP($F$4,Conversions!$B$7:$C$10,2,FALSE)</f>
        <v>50010.390217866261</v>
      </c>
      <c r="O40" s="137">
        <f ca="1">SUM(K40:N40)</f>
        <v>132633.27424470754</v>
      </c>
      <c r="P40" s="136">
        <f ca="1">+'Units Sold'!L35*IF('Product Masses'!K31="X",0,'Product Masses'!K31)*VLOOKUP($F$4,Conversions!$B$7:$C$10,2,FALSE)</f>
        <v>0</v>
      </c>
      <c r="Q40" s="74">
        <f ca="1">+'Units Sold'!M35*IF('Product Masses'!L31="X",0,'Product Masses'!L31)*VLOOKUP($F$4,Conversions!$B$7:$C$10,2,FALSE)</f>
        <v>0</v>
      </c>
      <c r="R40" s="74">
        <f ca="1">+'Units Sold'!N35*IF('Product Masses'!M31="X",0,'Product Masses'!M31)*VLOOKUP($F$4,Conversions!$B$7:$C$10,2,FALSE)</f>
        <v>0</v>
      </c>
      <c r="S40" s="74">
        <f ca="1">+'Units Sold'!O35*IF('Product Masses'!N31="X",0,'Product Masses'!N31)*VLOOKUP($F$4,Conversions!$B$7:$C$10,2,FALSE)</f>
        <v>16867.454632244804</v>
      </c>
      <c r="T40" s="74">
        <f ca="1">+'Units Sold'!P35*IF('Product Masses'!O31="X",0,'Product Masses'!O31)*VLOOKUP($F$4,Conversions!$B$7:$C$10,2,FALSE)</f>
        <v>0</v>
      </c>
      <c r="U40" s="137">
        <f ca="1">SUM(P40:T40)</f>
        <v>16867.454632244804</v>
      </c>
      <c r="V40" s="74">
        <f ca="1">+'Units Sold'!R35*IF('Product Masses'!P31="X",0,'Product Masses'!P31)*VLOOKUP($F$4,Conversions!$B$7:$C$10,2,FALSE)</f>
        <v>0</v>
      </c>
      <c r="W40" s="74">
        <f ca="1">+'Units Sold'!S35*IF('Product Masses'!Q31="X",0,'Product Masses'!Q31)*VLOOKUP($F$4,Conversions!$B$7:$C$10,2,FALSE)</f>
        <v>0</v>
      </c>
      <c r="X40" s="74">
        <f ca="1">+'Units Sold'!T35*IF('Product Masses'!R31="X",0,'Product Masses'!R31)*VLOOKUP($F$4,Conversions!$B$7:$C$10,2,FALSE)</f>
        <v>0</v>
      </c>
    </row>
    <row r="41" spans="2:24" s="1" customFormat="1" x14ac:dyDescent="0.5">
      <c r="B41" s="1" t="s">
        <v>14</v>
      </c>
      <c r="G41" s="100"/>
      <c r="H41" s="100"/>
      <c r="I41" s="100"/>
      <c r="J41" s="112"/>
      <c r="K41" s="74"/>
      <c r="L41" s="74"/>
      <c r="M41" s="74"/>
      <c r="N41" s="74"/>
      <c r="O41" s="137"/>
      <c r="P41" s="136"/>
      <c r="Q41" s="74"/>
      <c r="R41" s="74"/>
      <c r="S41" s="74"/>
      <c r="T41" s="74"/>
      <c r="U41" s="137"/>
      <c r="V41" s="74"/>
      <c r="W41" s="74"/>
      <c r="X41" s="74"/>
    </row>
    <row r="42" spans="2:24" s="1" customFormat="1" x14ac:dyDescent="0.5">
      <c r="C42" s="2" t="s">
        <v>15</v>
      </c>
      <c r="G42" s="99">
        <f ca="1">+'On or Off Premise'!I37</f>
        <v>41378.000000000007</v>
      </c>
      <c r="H42" s="99">
        <f ca="1">+SUM(O42,U42:X42)</f>
        <v>137125.87584696116</v>
      </c>
      <c r="I42" s="305">
        <f ca="1">H42/$H$60</f>
        <v>2.7805711199233009E-2</v>
      </c>
      <c r="J42" s="112"/>
      <c r="K42" s="74">
        <f ca="1">+'Units Sold'!G37*IF('Product Masses'!G33="X",0,'Product Masses'!G33)*VLOOKUP($F$4,Conversions!$B$7:$C$10,2,FALSE)</f>
        <v>0</v>
      </c>
      <c r="L42" s="74">
        <f ca="1">+'Units Sold'!H37*IF('Product Masses'!H33="X",0,'Product Masses'!H33)*VLOOKUP($F$4,Conversions!$B$7:$C$10,2,FALSE)</f>
        <v>0</v>
      </c>
      <c r="M42" s="74">
        <f ca="1">+'Units Sold'!I37*IF('Product Masses'!I33="X",0,'Product Masses'!I33)*VLOOKUP($F$4,Conversions!$B$7:$C$10,2,FALSE)</f>
        <v>0</v>
      </c>
      <c r="N42" s="74">
        <f ca="1">+'Units Sold'!J37*IF('Product Masses'!J33="X",0,'Product Masses'!J33)*VLOOKUP($F$4,Conversions!$B$7:$C$10,2,FALSE)</f>
        <v>0</v>
      </c>
      <c r="O42" s="137">
        <f ca="1">SUM(K42:N42)</f>
        <v>0</v>
      </c>
      <c r="P42" s="136">
        <f ca="1">+'Units Sold'!L37*IF('Product Masses'!K33="X",0,'Product Masses'!K33)*VLOOKUP($F$4,Conversions!$B$7:$C$10,2,FALSE)</f>
        <v>0</v>
      </c>
      <c r="Q42" s="74">
        <f ca="1">+'Units Sold'!M37*IF('Product Masses'!L33="X",0,'Product Masses'!L33)*VLOOKUP($F$4,Conversions!$B$7:$C$10,2,FALSE)</f>
        <v>45792.982121836678</v>
      </c>
      <c r="R42" s="74">
        <f ca="1">+'Units Sold'!N37*IF('Product Masses'!M33="X",0,'Product Masses'!M33)*VLOOKUP($F$4,Conversions!$B$7:$C$10,2,FALSE)</f>
        <v>72723.158738862578</v>
      </c>
      <c r="S42" s="74">
        <f ca="1">+'Units Sold'!O37*IF('Product Masses'!N33="X",0,'Product Masses'!N33)*VLOOKUP($F$4,Conversions!$B$7:$C$10,2,FALSE)</f>
        <v>0</v>
      </c>
      <c r="T42" s="74">
        <f ca="1">+'Units Sold'!P37*IF('Product Masses'!O33="X",0,'Product Masses'!O33)*VLOOKUP($F$4,Conversions!$B$7:$C$10,2,FALSE)</f>
        <v>0</v>
      </c>
      <c r="U42" s="137">
        <f t="shared" ref="U42:U45" ca="1" si="15">SUM(P42:T42)</f>
        <v>118516.14086069926</v>
      </c>
      <c r="V42" s="74">
        <f ca="1">+'Units Sold'!R37*IF('Product Masses'!P33="X",0,'Product Masses'!P33)*VLOOKUP($F$4,Conversions!$B$7:$C$10,2,FALSE)</f>
        <v>18609.734986261908</v>
      </c>
      <c r="W42" s="74">
        <f ca="1">+'Units Sold'!S37*IF('Product Masses'!Q33="X",0,'Product Masses'!Q33)*VLOOKUP($F$4,Conversions!$B$7:$C$10,2,FALSE)</f>
        <v>0</v>
      </c>
      <c r="X42" s="74">
        <f ca="1">+'Units Sold'!T37*IF('Product Masses'!R33="X",0,'Product Masses'!R33)*VLOOKUP($F$4,Conversions!$B$7:$C$10,2,FALSE)</f>
        <v>0</v>
      </c>
    </row>
    <row r="43" spans="2:24" s="1" customFormat="1" x14ac:dyDescent="0.5">
      <c r="C43" s="2" t="s">
        <v>16</v>
      </c>
      <c r="G43" s="99">
        <f ca="1">+'On or Off Premise'!I38</f>
        <v>12962.762591583238</v>
      </c>
      <c r="H43" s="99">
        <f ca="1">+SUM(O43,U43:X43)</f>
        <v>22463.567004828721</v>
      </c>
      <c r="I43" s="305">
        <f ca="1">H43/$H$60</f>
        <v>4.5550517200560079E-3</v>
      </c>
      <c r="J43" s="112"/>
      <c r="K43" s="74">
        <f ca="1">+'Units Sold'!G38*IF('Product Masses'!G34="X",0,'Product Masses'!G34)*VLOOKUP($F$4,Conversions!$B$7:$C$10,2,FALSE)</f>
        <v>1051.2728861045302</v>
      </c>
      <c r="L43" s="74">
        <f ca="1">+'Units Sold'!H38*IF('Product Masses'!H34="X",0,'Product Masses'!H34)*VLOOKUP($F$4,Conversions!$B$7:$C$10,2,FALSE)</f>
        <v>1051.2728861045302</v>
      </c>
      <c r="M43" s="74">
        <f ca="1">+'Units Sold'!I38*IF('Product Masses'!I34="X",0,'Product Masses'!I34)*VLOOKUP($F$4,Conversions!$B$7:$C$10,2,FALSE)</f>
        <v>0</v>
      </c>
      <c r="N43" s="74">
        <f ca="1">+'Units Sold'!J38*IF('Product Masses'!J34="X",0,'Product Masses'!J34)*VLOOKUP($F$4,Conversions!$B$7:$C$10,2,FALSE)</f>
        <v>0</v>
      </c>
      <c r="O43" s="137">
        <f ca="1">SUM(K43:N43)</f>
        <v>2102.5457722090605</v>
      </c>
      <c r="P43" s="136">
        <f ca="1">+'Units Sold'!L38*IF('Product Masses'!K34="X",0,'Product Masses'!K34)*VLOOKUP($F$4,Conversions!$B$7:$C$10,2,FALSE)</f>
        <v>0</v>
      </c>
      <c r="Q43" s="74">
        <f ca="1">+'Units Sold'!M38*IF('Product Masses'!L34="X",0,'Product Masses'!L34)*VLOOKUP($F$4,Conversions!$B$7:$C$10,2,FALSE)</f>
        <v>15756.930810188216</v>
      </c>
      <c r="R43" s="74">
        <f ca="1">+'Units Sold'!N38*IF('Product Masses'!M34="X",0,'Product Masses'!M34)*VLOOKUP($F$4,Conversions!$B$7:$C$10,2,FALSE)</f>
        <v>0</v>
      </c>
      <c r="S43" s="74">
        <f ca="1">+'Units Sold'!O38*IF('Product Masses'!N34="X",0,'Product Masses'!N34)*VLOOKUP($F$4,Conversions!$B$7:$C$10,2,FALSE)</f>
        <v>0</v>
      </c>
      <c r="T43" s="74">
        <f ca="1">+'Units Sold'!P38*IF('Product Masses'!O34="X",0,'Product Masses'!O34)*VLOOKUP($F$4,Conversions!$B$7:$C$10,2,FALSE)</f>
        <v>0</v>
      </c>
      <c r="U43" s="137">
        <f t="shared" ca="1" si="15"/>
        <v>15756.930810188216</v>
      </c>
      <c r="V43" s="74">
        <f ca="1">+'Units Sold'!R38*IF('Product Masses'!P34="X",0,'Product Masses'!P34)*VLOOKUP($F$4,Conversions!$B$7:$C$10,2,FALSE)</f>
        <v>4604.0904224314454</v>
      </c>
      <c r="W43" s="74">
        <f ca="1">+'Units Sold'!S38*IF('Product Masses'!Q34="X",0,'Product Masses'!Q34)*VLOOKUP($F$4,Conversions!$B$7:$C$10,2,FALSE)</f>
        <v>0</v>
      </c>
      <c r="X43" s="74">
        <f ca="1">+'Units Sold'!T38*IF('Product Masses'!R34="X",0,'Product Masses'!R34)*VLOOKUP($F$4,Conversions!$B$7:$C$10,2,FALSE)</f>
        <v>0</v>
      </c>
    </row>
    <row r="44" spans="2:24" s="1" customFormat="1" x14ac:dyDescent="0.5">
      <c r="C44" s="2" t="s">
        <v>17</v>
      </c>
      <c r="G44" s="99">
        <f ca="1">+'On or Off Premise'!I39</f>
        <v>1006.9698739560419</v>
      </c>
      <c r="H44" s="99">
        <f ca="1">+SUM(O44,U44:X44)</f>
        <v>791.22570628320295</v>
      </c>
      <c r="I44" s="305">
        <f ca="1">H44/$H$60</f>
        <v>1.604408602419691E-4</v>
      </c>
      <c r="J44" s="112"/>
      <c r="K44" s="74">
        <f ca="1">+'Units Sold'!G39*IF('Product Masses'!G35="X",0,'Product Masses'!G35)*VLOOKUP($F$4,Conversions!$B$7:$C$10,2,FALSE)</f>
        <v>0</v>
      </c>
      <c r="L44" s="74">
        <f ca="1">+'Units Sold'!H39*IF('Product Masses'!H35="X",0,'Product Masses'!H35)*VLOOKUP($F$4,Conversions!$B$7:$C$10,2,FALSE)</f>
        <v>0</v>
      </c>
      <c r="M44" s="74">
        <f ca="1">+'Units Sold'!I39*IF('Product Masses'!I35="X",0,'Product Masses'!I35)*VLOOKUP($F$4,Conversions!$B$7:$C$10,2,FALSE)</f>
        <v>0</v>
      </c>
      <c r="N44" s="74">
        <f ca="1">+'Units Sold'!J39*IF('Product Masses'!J35="X",0,'Product Masses'!J35)*VLOOKUP($F$4,Conversions!$B$7:$C$10,2,FALSE)</f>
        <v>0</v>
      </c>
      <c r="O44" s="137">
        <f ca="1">SUM(K44:N44)</f>
        <v>0</v>
      </c>
      <c r="P44" s="136">
        <f ca="1">+'Units Sold'!L39*IF('Product Masses'!K35="X",0,'Product Masses'!K35)*VLOOKUP($F$4,Conversions!$B$7:$C$10,2,FALSE)</f>
        <v>0</v>
      </c>
      <c r="Q44" s="74">
        <f ca="1">+'Units Sold'!M39*IF('Product Masses'!L35="X",0,'Product Masses'!L35)*VLOOKUP($F$4,Conversions!$B$7:$C$10,2,FALSE)</f>
        <v>182.51308846812665</v>
      </c>
      <c r="R44" s="74">
        <f ca="1">+'Units Sold'!N39*IF('Product Masses'!M35="X",0,'Product Masses'!M35)*VLOOKUP($F$4,Conversions!$B$7:$C$10,2,FALSE)</f>
        <v>0</v>
      </c>
      <c r="S44" s="74">
        <f ca="1">+'Units Sold'!O39*IF('Product Masses'!N35="X",0,'Product Masses'!N35)*VLOOKUP($F$4,Conversions!$B$7:$C$10,2,FALSE)</f>
        <v>0</v>
      </c>
      <c r="T44" s="74">
        <f ca="1">+'Units Sold'!P39*IF('Product Masses'!O35="X",0,'Product Masses'!O35)*VLOOKUP($F$4,Conversions!$B$7:$C$10,2,FALSE)</f>
        <v>0</v>
      </c>
      <c r="U44" s="137">
        <f t="shared" ca="1" si="15"/>
        <v>182.51308846812665</v>
      </c>
      <c r="V44" s="74">
        <f ca="1">+'Units Sold'!R39*IF('Product Masses'!P35="X",0,'Product Masses'!P35)*VLOOKUP($F$4,Conversions!$B$7:$C$10,2,FALSE)</f>
        <v>0</v>
      </c>
      <c r="W44" s="74">
        <f ca="1">+'Units Sold'!S39*IF('Product Masses'!Q35="X",0,'Product Masses'!Q35)*VLOOKUP($F$4,Conversions!$B$7:$C$10,2,FALSE)</f>
        <v>0</v>
      </c>
      <c r="X44" s="74">
        <f ca="1">+'Units Sold'!T39*IF('Product Masses'!R35="X",0,'Product Masses'!R35)*VLOOKUP($F$4,Conversions!$B$7:$C$10,2,FALSE)</f>
        <v>608.71261781507633</v>
      </c>
    </row>
    <row r="45" spans="2:24" s="1" customFormat="1" x14ac:dyDescent="0.5">
      <c r="B45" s="98"/>
      <c r="C45" s="47" t="s">
        <v>18</v>
      </c>
      <c r="D45" s="48"/>
      <c r="E45" s="48"/>
      <c r="F45" s="48"/>
      <c r="G45" s="101">
        <f ca="1">+'On or Off Premise'!I40</f>
        <v>599.26137465610645</v>
      </c>
      <c r="H45" s="101">
        <f ca="1">+SUM(O45,U45:X45)</f>
        <v>4504.4430339756536</v>
      </c>
      <c r="I45" s="307">
        <f ca="1">H45/$H$60</f>
        <v>9.1338882134767835E-4</v>
      </c>
      <c r="J45" s="112"/>
      <c r="K45" s="49">
        <f ca="1">+'Units Sold'!G40*IF('Product Masses'!G36="X",0,'Product Masses'!G36)*VLOOKUP($F$4,Conversions!$B$7:$C$10,2,FALSE)</f>
        <v>0</v>
      </c>
      <c r="L45" s="49">
        <f ca="1">+'Units Sold'!H40*IF('Product Masses'!H36="X",0,'Product Masses'!H36)*VLOOKUP($F$4,Conversions!$B$7:$C$10,2,FALSE)</f>
        <v>0</v>
      </c>
      <c r="M45" s="49">
        <f ca="1">+'Units Sold'!I40*IF('Product Masses'!I36="X",0,'Product Masses'!I36)*VLOOKUP($F$4,Conversions!$B$7:$C$10,2,FALSE)</f>
        <v>0</v>
      </c>
      <c r="N45" s="49">
        <f ca="1">+'Units Sold'!J40*IF('Product Masses'!J36="X",0,'Product Masses'!J36)*VLOOKUP($F$4,Conversions!$B$7:$C$10,2,FALSE)</f>
        <v>0</v>
      </c>
      <c r="O45" s="144">
        <f ca="1">SUM(K45:N45)</f>
        <v>0</v>
      </c>
      <c r="P45" s="143">
        <f ca="1">+'Units Sold'!L40*IF('Product Masses'!K36="X",0,'Product Masses'!K36)*VLOOKUP($F$4,Conversions!$B$7:$C$10,2,FALSE)</f>
        <v>0</v>
      </c>
      <c r="Q45" s="49">
        <f ca="1">+'Units Sold'!M40*IF('Product Masses'!L36="X",0,'Product Masses'!L36)*VLOOKUP($F$4,Conversions!$B$7:$C$10,2,FALSE)</f>
        <v>0</v>
      </c>
      <c r="R45" s="49">
        <f ca="1">+'Units Sold'!N40*IF('Product Masses'!M36="X",0,'Product Masses'!M36)*VLOOKUP($F$4,Conversions!$B$7:$C$10,2,FALSE)</f>
        <v>0</v>
      </c>
      <c r="S45" s="49">
        <f ca="1">+'Units Sold'!O40*IF('Product Masses'!N36="X",0,'Product Masses'!N36)*VLOOKUP($F$4,Conversions!$B$7:$C$10,2,FALSE)</f>
        <v>0</v>
      </c>
      <c r="T45" s="49">
        <f ca="1">+'Units Sold'!P40*IF('Product Masses'!O36="X",0,'Product Masses'!O36)*VLOOKUP($F$4,Conversions!$B$7:$C$10,2,FALSE)</f>
        <v>0</v>
      </c>
      <c r="U45" s="144">
        <f t="shared" ca="1" si="15"/>
        <v>0</v>
      </c>
      <c r="V45" s="49">
        <f ca="1">+'Units Sold'!R40*IF('Product Masses'!P36="X",0,'Product Masses'!P36)*VLOOKUP($F$4,Conversions!$B$7:$C$10,2,FALSE)</f>
        <v>0</v>
      </c>
      <c r="W45" s="49">
        <f ca="1">+'Units Sold'!S40*IF('Product Masses'!Q36="X",0,'Product Masses'!Q36)*VLOOKUP($F$4,Conversions!$B$7:$C$10,2,FALSE)</f>
        <v>0</v>
      </c>
      <c r="X45" s="49">
        <f ca="1">+'Units Sold'!T40*IF('Product Masses'!R36="X",0,'Product Masses'!R36)*VLOOKUP($F$4,Conversions!$B$7:$C$10,2,FALSE)</f>
        <v>4504.4430339756536</v>
      </c>
    </row>
    <row r="46" spans="2:24" s="43" customFormat="1" x14ac:dyDescent="0.5">
      <c r="B46" s="3" t="s">
        <v>37</v>
      </c>
      <c r="C46" s="44"/>
      <c r="G46" s="102">
        <f ca="1">+SUM(G40,G42:G45)</f>
        <v>66505.993840195399</v>
      </c>
      <c r="H46" s="102">
        <f ca="1">+SUM(H40,H42:H45)</f>
        <v>314385.84046900104</v>
      </c>
      <c r="I46" s="308">
        <f ca="1">H46/$H$60</f>
        <v>6.3749615681327351E-2</v>
      </c>
      <c r="J46" s="113"/>
      <c r="K46" s="152">
        <f ca="1">+SUM(K40,K42:K45)</f>
        <v>34271.290120329089</v>
      </c>
      <c r="L46" s="152">
        <f ca="1">+SUM(L40,L42:L45)</f>
        <v>1051.2728861045302</v>
      </c>
      <c r="M46" s="152">
        <f ca="1">+SUM(M40,M42:M45)</f>
        <v>49402.866792616725</v>
      </c>
      <c r="N46" s="152">
        <f ca="1">+SUM(N40,N42:N45)</f>
        <v>50010.390217866261</v>
      </c>
      <c r="O46" s="137">
        <f ca="1">+SUM(O40,O42:O45)</f>
        <v>134735.82001691661</v>
      </c>
      <c r="P46" s="152">
        <f t="shared" ref="P46:T46" ca="1" si="16">+SUM(P40,P42:P45)</f>
        <v>0</v>
      </c>
      <c r="Q46" s="152">
        <f t="shared" ca="1" si="16"/>
        <v>61732.426020493018</v>
      </c>
      <c r="R46" s="152">
        <f t="shared" ca="1" si="16"/>
        <v>72723.158738862578</v>
      </c>
      <c r="S46" s="152">
        <f ca="1">+SUM(S40,S42:S45)</f>
        <v>16867.454632244804</v>
      </c>
      <c r="T46" s="152">
        <f t="shared" ca="1" si="16"/>
        <v>0</v>
      </c>
      <c r="U46" s="137">
        <f ca="1">+SUM(U40,U42:U45)</f>
        <v>151323.03939160038</v>
      </c>
      <c r="V46" s="152">
        <f t="shared" ref="V46:X46" ca="1" si="17">+SUM(V40,V42:V45)</f>
        <v>23213.825408693352</v>
      </c>
      <c r="W46" s="152">
        <f t="shared" ca="1" si="17"/>
        <v>0</v>
      </c>
      <c r="X46" s="152">
        <f t="shared" ca="1" si="17"/>
        <v>5113.1556517907302</v>
      </c>
    </row>
    <row r="47" spans="2:24" s="1" customFormat="1" ht="7.1" customHeight="1" x14ac:dyDescent="0.5">
      <c r="B47" s="3"/>
      <c r="G47" s="100"/>
      <c r="H47" s="100"/>
      <c r="I47" s="100"/>
      <c r="J47" s="112"/>
      <c r="K47" s="74"/>
      <c r="L47" s="74"/>
      <c r="M47" s="74"/>
      <c r="N47" s="74"/>
      <c r="O47" s="137"/>
      <c r="P47" s="136"/>
      <c r="Q47" s="74"/>
      <c r="R47" s="74"/>
      <c r="S47" s="74"/>
      <c r="T47" s="74"/>
      <c r="U47" s="137"/>
      <c r="V47" s="74"/>
      <c r="W47" s="74"/>
      <c r="X47" s="74"/>
    </row>
    <row r="48" spans="2:24" s="1" customFormat="1" x14ac:dyDescent="0.5">
      <c r="B48" s="10" t="s">
        <v>19</v>
      </c>
      <c r="C48" s="9"/>
      <c r="D48" s="9"/>
      <c r="E48" s="11"/>
      <c r="F48" s="11"/>
      <c r="G48" s="105"/>
      <c r="H48" s="105"/>
      <c r="I48" s="105"/>
      <c r="J48" s="112"/>
      <c r="K48" s="140"/>
      <c r="L48" s="140"/>
      <c r="M48" s="140"/>
      <c r="N48" s="140"/>
      <c r="O48" s="141"/>
      <c r="P48" s="139"/>
      <c r="Q48" s="140"/>
      <c r="R48" s="140"/>
      <c r="S48" s="140"/>
      <c r="T48" s="140"/>
      <c r="U48" s="141"/>
      <c r="V48" s="140"/>
      <c r="W48" s="140"/>
      <c r="X48" s="140"/>
    </row>
    <row r="49" spans="2:25" s="1" customFormat="1" x14ac:dyDescent="0.5">
      <c r="B49" s="2" t="s">
        <v>19</v>
      </c>
      <c r="E49" s="2"/>
      <c r="F49" s="2"/>
      <c r="G49" s="99">
        <f ca="1">+'On or Off Premise'!I44</f>
        <v>234146</v>
      </c>
      <c r="H49" s="99">
        <f ca="1">+SUM(O49,U49:X49)</f>
        <v>1270368.3352402239</v>
      </c>
      <c r="I49" s="305">
        <f ca="1">H49/$H$60</f>
        <v>0.25759904779578396</v>
      </c>
      <c r="J49" s="112"/>
      <c r="K49" s="74">
        <f ca="1">+'Units Sold'!G44*IF('Product Masses'!G39="X",0,'Product Masses'!G39)*VLOOKUP($F$4,Conversions!$B$7:$C$10,2,FALSE)</f>
        <v>0</v>
      </c>
      <c r="L49" s="74">
        <f ca="1">+'Units Sold'!H44*IF('Product Masses'!H39="X",0,'Product Masses'!H39)</f>
        <v>1270368.3352402239</v>
      </c>
      <c r="M49" s="74">
        <f ca="1">+'Units Sold'!I44*IF('Product Masses'!I39="X",0,'Product Masses'!I39)*VLOOKUP($F$4,Conversions!$B$7:$C$10,2,FALSE)</f>
        <v>0</v>
      </c>
      <c r="N49" s="74">
        <f ca="1">+'Units Sold'!J44*IF('Product Masses'!J39="X",0,'Product Masses'!J39)*VLOOKUP($F$4,Conversions!$B$7:$C$10,2,FALSE)</f>
        <v>0</v>
      </c>
      <c r="O49" s="137">
        <f ca="1">SUM(K49:N49)</f>
        <v>1270368.3352402239</v>
      </c>
      <c r="P49" s="136">
        <f ca="1">+'Units Sold'!L44*IF('Product Masses'!K39="X",0,'Product Masses'!K39)*VLOOKUP($F$4,Conversions!$B$7:$C$10,2,FALSE)</f>
        <v>0</v>
      </c>
      <c r="Q49" s="74">
        <f ca="1">+'Units Sold'!M44*IF('Product Masses'!L39="X",0,'Product Masses'!L39)*VLOOKUP($F$4,Conversions!$B$7:$C$10,2,FALSE)</f>
        <v>0</v>
      </c>
      <c r="R49" s="74">
        <f ca="1">+'Units Sold'!N44*IF('Product Masses'!M39="X",0,'Product Masses'!M39)*VLOOKUP($F$4,Conversions!$B$7:$C$10,2,FALSE)</f>
        <v>0</v>
      </c>
      <c r="S49" s="74">
        <f ca="1">+'Units Sold'!O44*IF('Product Masses'!N39="X",0,'Product Masses'!N39)*VLOOKUP($F$4,Conversions!$B$7:$C$10,2,FALSE)</f>
        <v>0</v>
      </c>
      <c r="T49" s="74">
        <f ca="1">+'Units Sold'!P44*IF('Product Masses'!O39="X",0,'Product Masses'!O39)*VLOOKUP($F$4,Conversions!$B$7:$C$10,2,FALSE)</f>
        <v>0</v>
      </c>
      <c r="U49" s="137">
        <f ca="1">SUM(P49:T49)</f>
        <v>0</v>
      </c>
      <c r="V49" s="74">
        <f ca="1">+'Units Sold'!R44*IF('Product Masses'!P39="X",0,'Product Masses'!P39)*VLOOKUP($F$4,Conversions!$B$7:$C$10,2,FALSE)</f>
        <v>0</v>
      </c>
      <c r="W49" s="74">
        <f ca="1">+'Units Sold'!S44*IF('Product Masses'!Q39="X",0,'Product Masses'!Q39)*VLOOKUP($F$4,Conversions!$B$7:$C$10,2,FALSE)</f>
        <v>0</v>
      </c>
      <c r="X49" s="74">
        <f ca="1">+'Units Sold'!T44*IF('Product Masses'!R39="X",0,'Product Masses'!R39)*VLOOKUP($F$4,Conversions!$B$7:$C$10,2,FALSE)</f>
        <v>0</v>
      </c>
    </row>
    <row r="50" spans="2:25" s="1" customFormat="1" ht="7.1" customHeight="1" x14ac:dyDescent="0.5">
      <c r="B50" s="2"/>
      <c r="E50" s="2"/>
      <c r="F50" s="2"/>
      <c r="G50" s="100"/>
      <c r="H50" s="100"/>
      <c r="I50" s="100"/>
      <c r="J50" s="112"/>
      <c r="K50" s="74"/>
      <c r="L50" s="74"/>
      <c r="M50" s="74"/>
      <c r="N50" s="74"/>
      <c r="O50" s="137"/>
      <c r="P50" s="136"/>
      <c r="Q50" s="74"/>
      <c r="R50" s="74"/>
      <c r="S50" s="74"/>
      <c r="T50" s="74"/>
      <c r="U50" s="137"/>
      <c r="V50" s="74"/>
      <c r="W50" s="74"/>
      <c r="X50" s="74"/>
    </row>
    <row r="51" spans="2:25" s="1" customFormat="1" x14ac:dyDescent="0.5">
      <c r="B51" s="10" t="s">
        <v>25</v>
      </c>
      <c r="C51" s="9"/>
      <c r="D51" s="9"/>
      <c r="E51" s="9"/>
      <c r="F51" s="9"/>
      <c r="G51" s="105"/>
      <c r="H51" s="105"/>
      <c r="I51" s="105"/>
      <c r="J51" s="112"/>
      <c r="K51" s="140"/>
      <c r="L51" s="140"/>
      <c r="M51" s="140"/>
      <c r="N51" s="140"/>
      <c r="O51" s="141"/>
      <c r="P51" s="139"/>
      <c r="Q51" s="140"/>
      <c r="R51" s="140"/>
      <c r="S51" s="140"/>
      <c r="T51" s="140"/>
      <c r="U51" s="141"/>
      <c r="V51" s="140"/>
      <c r="W51" s="140"/>
      <c r="X51" s="140"/>
    </row>
    <row r="52" spans="2:25" s="1" customFormat="1" x14ac:dyDescent="0.5">
      <c r="B52" s="2" t="s">
        <v>25</v>
      </c>
      <c r="G52" s="99">
        <f ca="1">+'On or Off Premise'!I47</f>
        <v>18844</v>
      </c>
      <c r="H52" s="99">
        <f ca="1">+SUM(O52,U52:X52)</f>
        <v>74533.471030780725</v>
      </c>
      <c r="I52" s="305">
        <f ca="1">H52/$H$60</f>
        <v>1.5113530960934358E-2</v>
      </c>
      <c r="J52" s="112"/>
      <c r="K52" s="74">
        <f ca="1">+'Units Sold'!G47*IF('Product Masses'!G42="X",0,'Product Masses'!G42)*VLOOKUP($F$4,Conversions!$B$7:$C$10,2,FALSE)</f>
        <v>68732.404370734977</v>
      </c>
      <c r="L52" s="74">
        <f ca="1">+'Units Sold'!H47*IF('Product Masses'!H42="X",0,'Product Masses'!H42)*VLOOKUP($F$4,Conversions!$B$7:$C$10,2,FALSE)</f>
        <v>0</v>
      </c>
      <c r="M52" s="74">
        <f ca="1">+'Units Sold'!I47*IF('Product Masses'!I42="X",0,'Product Masses'!I42)*VLOOKUP($F$4,Conversions!$B$7:$C$10,2,FALSE)</f>
        <v>0</v>
      </c>
      <c r="N52" s="74">
        <f ca="1">+'Units Sold'!J47*IF('Product Masses'!J42="X",0,'Product Masses'!J42)*VLOOKUP($F$4,Conversions!$B$7:$C$10,2,FALSE)</f>
        <v>0</v>
      </c>
      <c r="O52" s="137">
        <f ca="1">SUM(K52:N52)</f>
        <v>68732.404370734977</v>
      </c>
      <c r="P52" s="136">
        <f ca="1">+'Units Sold'!L47*IF('Product Masses'!K42="X",0,'Product Masses'!K42)*VLOOKUP($F$4,Conversions!$B$7:$C$10,2,FALSE)</f>
        <v>0</v>
      </c>
      <c r="Q52" s="74">
        <f ca="1">+'Units Sold'!M47*IF('Product Masses'!L42="X",0,'Product Masses'!L42)*VLOOKUP($F$4,Conversions!$B$7:$C$10,2,FALSE)</f>
        <v>0</v>
      </c>
      <c r="R52" s="74">
        <f ca="1">+'Units Sold'!N47*IF('Product Masses'!M42="X",0,'Product Masses'!M42)*VLOOKUP($F$4,Conversions!$B$7:$C$10,2,FALSE)</f>
        <v>0</v>
      </c>
      <c r="S52" s="74">
        <f ca="1">+'Units Sold'!O47*IF('Product Masses'!N42="X",0,'Product Masses'!N42)*VLOOKUP($F$4,Conversions!$B$7:$C$10,2,FALSE)</f>
        <v>0</v>
      </c>
      <c r="T52" s="74">
        <f ca="1">+'Units Sold'!P47*IF('Product Masses'!O42="X",0,'Product Masses'!O42)*VLOOKUP($F$4,Conversions!$B$7:$C$10,2,FALSE)</f>
        <v>0</v>
      </c>
      <c r="U52" s="137">
        <f ca="1">SUM(P52:T52)</f>
        <v>0</v>
      </c>
      <c r="V52" s="74">
        <f ca="1">+'Units Sold'!R47*IF('Product Masses'!P42="X",0,'Product Masses'!P42)*VLOOKUP($F$4,Conversions!$B$7:$C$10,2,FALSE)</f>
        <v>0</v>
      </c>
      <c r="W52" s="74">
        <f ca="1">+'Units Sold'!S47*IF('Product Masses'!Q42="X",0,'Product Masses'!Q42)*VLOOKUP($F$4,Conversions!$B$7:$C$10,2,FALSE)</f>
        <v>5801.0666600457462</v>
      </c>
      <c r="X52" s="74">
        <f ca="1">+'Units Sold'!T47*IF('Product Masses'!R42="X",0,'Product Masses'!R42)*VLOOKUP($F$4,Conversions!$B$7:$C$10,2,FALSE)</f>
        <v>0</v>
      </c>
    </row>
    <row r="53" spans="2:25" s="1" customFormat="1" ht="7.1" customHeight="1" x14ac:dyDescent="0.5">
      <c r="B53" s="2"/>
      <c r="G53" s="100"/>
      <c r="H53" s="100"/>
      <c r="I53" s="100"/>
      <c r="J53" s="112"/>
      <c r="K53" s="74"/>
      <c r="L53" s="74"/>
      <c r="M53" s="74"/>
      <c r="N53" s="74"/>
      <c r="O53" s="137"/>
      <c r="P53" s="136"/>
      <c r="Q53" s="74"/>
      <c r="R53" s="74"/>
      <c r="S53" s="74"/>
      <c r="T53" s="74"/>
      <c r="U53" s="137"/>
      <c r="V53" s="74"/>
      <c r="W53" s="74"/>
      <c r="X53" s="74"/>
    </row>
    <row r="54" spans="2:25" s="1" customFormat="1" x14ac:dyDescent="0.5">
      <c r="B54" s="10" t="s">
        <v>4</v>
      </c>
      <c r="C54" s="9"/>
      <c r="D54" s="9"/>
      <c r="E54" s="9"/>
      <c r="F54" s="9"/>
      <c r="G54" s="105"/>
      <c r="H54" s="105"/>
      <c r="I54" s="105"/>
      <c r="J54" s="112"/>
      <c r="K54" s="140"/>
      <c r="L54" s="140"/>
      <c r="M54" s="140"/>
      <c r="N54" s="140"/>
      <c r="O54" s="141"/>
      <c r="P54" s="139"/>
      <c r="Q54" s="140"/>
      <c r="R54" s="140"/>
      <c r="S54" s="140"/>
      <c r="T54" s="140"/>
      <c r="U54" s="141"/>
      <c r="V54" s="140"/>
      <c r="W54" s="140"/>
      <c r="X54" s="140"/>
    </row>
    <row r="55" spans="2:25" s="1" customFormat="1" x14ac:dyDescent="0.5">
      <c r="B55" s="2" t="s">
        <v>20</v>
      </c>
      <c r="E55" s="2"/>
      <c r="F55" s="2"/>
      <c r="G55" s="99">
        <f ca="1">+'On or Off Premise'!I50</f>
        <v>1919</v>
      </c>
      <c r="H55" s="99">
        <f ca="1">+SUM(O55,U55:X55)</f>
        <v>23451.850788983811</v>
      </c>
      <c r="I55" s="305">
        <f ca="1">H55/$H$60</f>
        <v>4.7554510488870627E-3</v>
      </c>
      <c r="J55" s="112"/>
      <c r="K55" s="74">
        <f ca="1">+'Units Sold'!G50*IF('Product Masses'!G45="X",0,'Product Masses'!G45)*VLOOKUP($F$4,Conversions!$B$7:$C$10,2,FALSE)</f>
        <v>19930.574959441547</v>
      </c>
      <c r="L55" s="74">
        <f ca="1">+'Units Sold'!H50*IF('Product Masses'!H45="X",0,'Product Masses'!H45)*VLOOKUP($F$4,Conversions!$B$7:$C$10,2,FALSE)</f>
        <v>2936.0667635377567</v>
      </c>
      <c r="M55" s="74">
        <f ca="1">+'Units Sold'!I50*IF('Product Masses'!I45="X",0,'Product Masses'!I45)*VLOOKUP($F$4,Conversions!$B$7:$C$10,2,FALSE)</f>
        <v>0</v>
      </c>
      <c r="N55" s="74">
        <f ca="1">+'Units Sold'!J50*IF('Product Masses'!J45="X",0,'Product Masses'!J45)*VLOOKUP($F$4,Conversions!$B$7:$C$10,2,FALSE)</f>
        <v>585.20906600450849</v>
      </c>
      <c r="O55" s="137">
        <f ca="1">SUM(K55:N55)</f>
        <v>23451.850788983811</v>
      </c>
      <c r="P55" s="136">
        <f ca="1">+'Units Sold'!L50*IF('Product Masses'!K45="X",0,'Product Masses'!K45)*VLOOKUP($F$4,Conversions!$B$7:$C$10,2,FALSE)</f>
        <v>0</v>
      </c>
      <c r="Q55" s="74">
        <f ca="1">+'Units Sold'!M50*IF('Product Masses'!L45="X",0,'Product Masses'!L45)*VLOOKUP($F$4,Conversions!$B$7:$C$10,2,FALSE)</f>
        <v>0</v>
      </c>
      <c r="R55" s="74">
        <f ca="1">+'Units Sold'!N50*IF('Product Masses'!M45="X",0,'Product Masses'!M45)*VLOOKUP($F$4,Conversions!$B$7:$C$10,2,FALSE)</f>
        <v>0</v>
      </c>
      <c r="S55" s="74">
        <f ca="1">+'Units Sold'!O50*IF('Product Masses'!N45="X",0,'Product Masses'!N45)*VLOOKUP($F$4,Conversions!$B$7:$C$10,2,FALSE)</f>
        <v>0</v>
      </c>
      <c r="T55" s="74">
        <f ca="1">+'Units Sold'!P50*IF('Product Masses'!O45="X",0,'Product Masses'!O45)*VLOOKUP($F$4,Conversions!$B$7:$C$10,2,FALSE)</f>
        <v>0</v>
      </c>
      <c r="U55" s="137">
        <f t="shared" ref="U55:U57" ca="1" si="18">SUM(P55:T55)</f>
        <v>0</v>
      </c>
      <c r="V55" s="74">
        <f ca="1">+'Units Sold'!R50*IF('Product Masses'!P45="X",0,'Product Masses'!P45)*VLOOKUP($F$4,Conversions!$B$7:$C$10,2,FALSE)</f>
        <v>0</v>
      </c>
      <c r="W55" s="74">
        <f ca="1">+'Units Sold'!S50*IF('Product Masses'!Q45="X",0,'Product Masses'!Q45)*VLOOKUP($F$4,Conversions!$B$7:$C$10,2,FALSE)</f>
        <v>0</v>
      </c>
      <c r="X55" s="74">
        <f ca="1">+'Units Sold'!T50*IF('Product Masses'!R45="X",0,'Product Masses'!R45)*VLOOKUP($F$4,Conversions!$B$7:$C$10,2,FALSE)</f>
        <v>0</v>
      </c>
    </row>
    <row r="56" spans="2:25" s="1" customFormat="1" x14ac:dyDescent="0.5">
      <c r="B56" s="2" t="s">
        <v>11</v>
      </c>
      <c r="E56" s="2"/>
      <c r="F56" s="2"/>
      <c r="G56" s="99">
        <f ca="1">+'On or Off Premise'!I51</f>
        <v>24157</v>
      </c>
      <c r="H56" s="99">
        <f ca="1">+SUM(O56,U56:X56)</f>
        <v>79218.768008808009</v>
      </c>
      <c r="I56" s="305">
        <f ca="1">H56/$H$60</f>
        <v>1.6063592456250254E-2</v>
      </c>
      <c r="J56" s="112"/>
      <c r="K56" s="74">
        <f ca="1">+'Units Sold'!G51*IF('Product Masses'!G46="X",0,'Product Masses'!G46)*VLOOKUP($F$4,Conversions!$B$7:$C$10,2,FALSE)</f>
        <v>2471.6609915032441</v>
      </c>
      <c r="L56" s="74">
        <f ca="1">+'Units Sold'!H51*IF('Product Masses'!H46="X",0,'Product Masses'!H46)*VLOOKUP($F$4,Conversions!$B$7:$C$10,2,FALSE)</f>
        <v>0</v>
      </c>
      <c r="M56" s="74">
        <f ca="1">+'Units Sold'!I51*IF('Product Masses'!I46="X",0,'Product Masses'!I46)*VLOOKUP($F$4,Conversions!$B$7:$C$10,2,FALSE)</f>
        <v>0</v>
      </c>
      <c r="N56" s="74">
        <f ca="1">+'Units Sold'!J51*IF('Product Masses'!J46="X",0,'Product Masses'!J46)*VLOOKUP($F$4,Conversions!$B$7:$C$10,2,FALSE)</f>
        <v>0</v>
      </c>
      <c r="O56" s="137">
        <f ca="1">SUM(K56:N56)</f>
        <v>2471.6609915032441</v>
      </c>
      <c r="P56" s="136">
        <f ca="1">+'Units Sold'!L51*IF('Product Masses'!K46="X",0,'Product Masses'!K46)*VLOOKUP($F$4,Conversions!$B$7:$C$10,2,FALSE)</f>
        <v>0</v>
      </c>
      <c r="Q56" s="74">
        <f ca="1">+'Units Sold'!M51*IF('Product Masses'!L46="X",0,'Product Masses'!L46)*VLOOKUP($F$4,Conversions!$B$7:$C$10,2,FALSE)</f>
        <v>30603.261715650948</v>
      </c>
      <c r="R56" s="74">
        <f ca="1">+'Units Sold'!N51*IF('Product Masses'!M46="X",0,'Product Masses'!M46)*VLOOKUP($F$4,Conversions!$B$7:$C$10,2,FALSE)</f>
        <v>24620.787260205583</v>
      </c>
      <c r="S56" s="74">
        <f ca="1">+'Units Sold'!O51*IF('Product Masses'!N46="X",0,'Product Masses'!N46)*VLOOKUP($F$4,Conversions!$B$7:$C$10,2,FALSE)</f>
        <v>20774.997099467033</v>
      </c>
      <c r="T56" s="74">
        <f ca="1">+'Units Sold'!P51*IF('Product Masses'!O46="X",0,'Product Masses'!O46)*VLOOKUP($F$4,Conversions!$B$7:$C$10,2,FALSE)</f>
        <v>0</v>
      </c>
      <c r="U56" s="137">
        <f t="shared" ca="1" si="18"/>
        <v>75999.046075323567</v>
      </c>
      <c r="V56" s="74">
        <f ca="1">+'Units Sold'!R51*IF('Product Masses'!P46="X",0,'Product Masses'!P46)*VLOOKUP($F$4,Conversions!$B$7:$C$10,2,FALSE)</f>
        <v>748.06094198119456</v>
      </c>
      <c r="W56" s="74">
        <f ca="1">+'Units Sold'!S51*IF('Product Masses'!Q46="X",0,'Product Masses'!Q46)*VLOOKUP($F$4,Conversions!$B$7:$C$10,2,FALSE)</f>
        <v>0</v>
      </c>
      <c r="X56" s="74">
        <f ca="1">+'Units Sold'!T51*IF('Product Masses'!R46="X",0,'Product Masses'!R46)*VLOOKUP($F$4,Conversions!$B$7:$C$10,2,FALSE)</f>
        <v>0</v>
      </c>
    </row>
    <row r="57" spans="2:25" s="1" customFormat="1" x14ac:dyDescent="0.5">
      <c r="B57" s="47" t="s">
        <v>55</v>
      </c>
      <c r="C57" s="48"/>
      <c r="D57" s="48"/>
      <c r="E57" s="47"/>
      <c r="F57" s="47"/>
      <c r="G57" s="101">
        <f ca="1">+'On or Off Premise'!I52</f>
        <v>2933</v>
      </c>
      <c r="H57" s="101">
        <f ca="1">+SUM(O57,U57:X57)</f>
        <v>18721.987629837357</v>
      </c>
      <c r="I57" s="307">
        <f ca="1">H57/$H$60</f>
        <v>3.7963526423842849E-3</v>
      </c>
      <c r="J57" s="112"/>
      <c r="K57" s="49">
        <f ca="1">+'Units Sold'!G52*IF('Product Masses'!G47="X",0,'Product Masses'!G47)*VLOOKUP($F$4,Conversions!$B$7:$C$10,2,FALSE)</f>
        <v>0</v>
      </c>
      <c r="L57" s="49">
        <f ca="1">+'Units Sold'!H52*IF('Product Masses'!H47="X",0,'Product Masses'!H47)*VLOOKUP($F$4,Conversions!$B$7:$C$10,2,FALSE)</f>
        <v>18721.987629837357</v>
      </c>
      <c r="M57" s="49">
        <f ca="1">+'Units Sold'!I52*IF('Product Masses'!I47="X",0,'Product Masses'!I47)*VLOOKUP($F$4,Conversions!$B$7:$C$10,2,FALSE)</f>
        <v>0</v>
      </c>
      <c r="N57" s="49">
        <f ca="1">+'Units Sold'!J52*IF('Product Masses'!J47="X",0,'Product Masses'!J47)*VLOOKUP($F$4,Conversions!$B$7:$C$10,2,FALSE)</f>
        <v>0</v>
      </c>
      <c r="O57" s="144">
        <f ca="1">SUM(K57:N57)</f>
        <v>18721.987629837357</v>
      </c>
      <c r="P57" s="143">
        <f ca="1">+'Units Sold'!L52*IF('Product Masses'!K47="X",0,'Product Masses'!K47)*VLOOKUP($F$4,Conversions!$B$7:$C$10,2,FALSE)</f>
        <v>0</v>
      </c>
      <c r="Q57" s="49">
        <f ca="1">+'Units Sold'!M52*IF('Product Masses'!L47="X",0,'Product Masses'!L47)*VLOOKUP($F$4,Conversions!$B$7:$C$10,2,FALSE)</f>
        <v>0</v>
      </c>
      <c r="R57" s="49">
        <f ca="1">+'Units Sold'!N52*IF('Product Masses'!M47="X",0,'Product Masses'!M47)*VLOOKUP($F$4,Conversions!$B$7:$C$10,2,FALSE)</f>
        <v>0</v>
      </c>
      <c r="S57" s="49">
        <f ca="1">+'Units Sold'!O52*IF('Product Masses'!N47="X",0,'Product Masses'!N47)*VLOOKUP($F$4,Conversions!$B$7:$C$10,2,FALSE)</f>
        <v>0</v>
      </c>
      <c r="T57" s="49">
        <f ca="1">+'Units Sold'!P52*IF('Product Masses'!O47="X",0,'Product Masses'!O47)*VLOOKUP($F$4,Conversions!$B$7:$C$10,2,FALSE)</f>
        <v>0</v>
      </c>
      <c r="U57" s="144">
        <f t="shared" ca="1" si="18"/>
        <v>0</v>
      </c>
      <c r="V57" s="49">
        <f ca="1">+'Units Sold'!R52*IF('Product Masses'!P47="X",0,'Product Masses'!P47)*VLOOKUP($F$4,Conversions!$B$7:$C$10,2,FALSE)</f>
        <v>0</v>
      </c>
      <c r="W57" s="49">
        <f ca="1">+'Units Sold'!S52*IF('Product Masses'!Q47="X",0,'Product Masses'!Q47)*VLOOKUP($F$4,Conversions!$B$7:$C$10,2,FALSE)</f>
        <v>0</v>
      </c>
      <c r="X57" s="49">
        <f ca="1">+'Units Sold'!T52*IF('Product Masses'!R47="X",0,'Product Masses'!R47)*VLOOKUP($F$4,Conversions!$B$7:$C$10,2,FALSE)</f>
        <v>0</v>
      </c>
    </row>
    <row r="58" spans="2:25" s="43" customFormat="1" x14ac:dyDescent="0.5">
      <c r="B58" s="44" t="s">
        <v>38</v>
      </c>
      <c r="E58" s="44"/>
      <c r="F58" s="44"/>
      <c r="G58" s="104">
        <f ca="1">SUM(G55:G57)</f>
        <v>29009</v>
      </c>
      <c r="H58" s="104">
        <f ca="1">SUM(H55:H57)</f>
        <v>121392.60642762917</v>
      </c>
      <c r="I58" s="308">
        <f ca="1">H58/$H$60</f>
        <v>2.46153961475216E-2</v>
      </c>
      <c r="J58" s="113"/>
      <c r="K58" s="152">
        <f t="shared" ref="K58:X58" ca="1" si="19">SUM(K55:K57)</f>
        <v>22402.235950944792</v>
      </c>
      <c r="L58" s="152">
        <f t="shared" ca="1" si="19"/>
        <v>21658.054393375114</v>
      </c>
      <c r="M58" s="152">
        <f ca="1">SUM(M55:M57)</f>
        <v>0</v>
      </c>
      <c r="N58" s="152">
        <f ca="1">SUM(N55:N57)</f>
        <v>585.20906600450849</v>
      </c>
      <c r="O58" s="137">
        <f t="shared" ca="1" si="19"/>
        <v>44645.49941032441</v>
      </c>
      <c r="P58" s="151">
        <f t="shared" ca="1" si="19"/>
        <v>0</v>
      </c>
      <c r="Q58" s="152">
        <f t="shared" ca="1" si="19"/>
        <v>30603.261715650948</v>
      </c>
      <c r="R58" s="152">
        <f t="shared" ca="1" si="19"/>
        <v>24620.787260205583</v>
      </c>
      <c r="S58" s="152">
        <f ca="1">SUM(S55:S57)</f>
        <v>20774.997099467033</v>
      </c>
      <c r="T58" s="152">
        <f t="shared" ca="1" si="19"/>
        <v>0</v>
      </c>
      <c r="U58" s="137">
        <f t="shared" ca="1" si="19"/>
        <v>75999.046075323567</v>
      </c>
      <c r="V58" s="152">
        <f t="shared" ca="1" si="19"/>
        <v>748.06094198119456</v>
      </c>
      <c r="W58" s="152">
        <f t="shared" ca="1" si="19"/>
        <v>0</v>
      </c>
      <c r="X58" s="152">
        <f t="shared" ca="1" si="19"/>
        <v>0</v>
      </c>
    </row>
    <row r="59" spans="2:25" s="43" customFormat="1" ht="7.1" customHeight="1" thickBot="1" x14ac:dyDescent="0.55000000000000004">
      <c r="B59" s="44"/>
      <c r="E59" s="44"/>
      <c r="F59" s="44"/>
      <c r="G59" s="104"/>
      <c r="H59" s="104"/>
      <c r="I59" s="104"/>
      <c r="J59" s="113"/>
      <c r="K59" s="74"/>
      <c r="L59" s="74"/>
      <c r="M59" s="74"/>
      <c r="N59" s="74"/>
      <c r="O59" s="137"/>
      <c r="P59" s="136"/>
      <c r="Q59" s="74"/>
      <c r="R59" s="74"/>
      <c r="S59" s="74"/>
      <c r="T59" s="74"/>
      <c r="U59" s="137"/>
      <c r="V59" s="74"/>
      <c r="W59" s="74"/>
      <c r="X59" s="74"/>
    </row>
    <row r="60" spans="2:25" s="43" customFormat="1" ht="14.7" thickBot="1" x14ac:dyDescent="0.55000000000000004">
      <c r="B60" s="146" t="s">
        <v>39</v>
      </c>
      <c r="C60" s="147"/>
      <c r="D60" s="147"/>
      <c r="E60" s="148"/>
      <c r="F60" s="148"/>
      <c r="G60" s="182">
        <f ca="1">SUM(G18,G26,G31,G36,G46,G49,G52,G58)</f>
        <v>561439.99384019547</v>
      </c>
      <c r="H60" s="182">
        <f ca="1">SUM(H18,H26,H31,H36,H46,H49,H52,H58)</f>
        <v>4931572.3257150007</v>
      </c>
      <c r="I60" s="306">
        <f ca="1">H60/$H$60</f>
        <v>1</v>
      </c>
      <c r="J60" s="114"/>
      <c r="K60" s="154">
        <f t="shared" ref="K60:X60" ca="1" si="20">SUM(K18,K26,K31,K36,K46,K49,K52,K58)</f>
        <v>785520.18485529092</v>
      </c>
      <c r="L60" s="154">
        <f t="shared" ca="1" si="20"/>
        <v>2190721.836666055</v>
      </c>
      <c r="M60" s="154">
        <f ca="1">SUM(M18,M26,M31,M36,M46,M49,M52,M58)</f>
        <v>117818.03787773829</v>
      </c>
      <c r="N60" s="154">
        <f ca="1">SUM(N18,N26,N31,N36,N46,N49,N52,N58)</f>
        <v>58458.654256908019</v>
      </c>
      <c r="O60" s="149">
        <f ca="1">SUM(O18,O26,O31,O36,O46,O49,O52,O58)</f>
        <v>3152518.7136559915</v>
      </c>
      <c r="P60" s="153">
        <f t="shared" ca="1" si="20"/>
        <v>482268.07792942587</v>
      </c>
      <c r="Q60" s="154">
        <f t="shared" ca="1" si="20"/>
        <v>461510.88947358564</v>
      </c>
      <c r="R60" s="154">
        <f t="shared" ca="1" si="20"/>
        <v>188330.43729214225</v>
      </c>
      <c r="S60" s="154">
        <f ca="1">SUM(S18,S26,S31,S36,S46,S49,S52,S58)</f>
        <v>380849.01414344861</v>
      </c>
      <c r="T60" s="154">
        <f t="shared" ca="1" si="20"/>
        <v>171156.37595971607</v>
      </c>
      <c r="U60" s="149">
        <f t="shared" ca="1" si="20"/>
        <v>1684114.7947983185</v>
      </c>
      <c r="V60" s="154">
        <f t="shared" ca="1" si="20"/>
        <v>82254.18577539704</v>
      </c>
      <c r="W60" s="154">
        <f t="shared" ca="1" si="20"/>
        <v>7571.4758335020979</v>
      </c>
      <c r="X60" s="155">
        <f t="shared" ca="1" si="20"/>
        <v>5113.1556517907302</v>
      </c>
    </row>
    <row r="61" spans="2:25" s="1" customFormat="1" x14ac:dyDescent="0.5">
      <c r="G61" s="225"/>
      <c r="J61" s="64"/>
    </row>
    <row r="62" spans="2:25" s="1" customFormat="1" x14ac:dyDescent="0.5">
      <c r="J62" s="64"/>
    </row>
    <row r="63" spans="2:25" ht="16" thickBot="1" x14ac:dyDescent="0.6">
      <c r="B63" s="46" t="str">
        <f>+"TOTAL UNITS AND MASS RECYCLABLE -- "&amp;CHOOSE(Recycling!$L$4,Recycling!B57,Recycling!B101, Recycling!B145)&amp;""</f>
        <v>TOTAL UNITS AND MASS RECYCLABLE -- Technically Recyclable in NYC</v>
      </c>
      <c r="C63" s="46"/>
      <c r="D63" s="46"/>
      <c r="E63" s="46"/>
      <c r="F63" s="46"/>
      <c r="G63" s="46"/>
      <c r="H63" s="46"/>
      <c r="I63" s="46"/>
      <c r="K63" s="178" t="str">
        <f>"TOTAL MASS RECYCLABLE BY MATERIAL ("&amp;$F$4&amp;")"</f>
        <v>TOTAL MASS RECYCLABLE BY MATERIAL (Short Tons)</v>
      </c>
      <c r="L63" s="178"/>
      <c r="M63" s="178"/>
      <c r="N63" s="178"/>
      <c r="O63" s="178"/>
      <c r="P63" s="178"/>
      <c r="Q63" s="178"/>
      <c r="R63" s="178"/>
      <c r="S63" s="178"/>
      <c r="T63" s="178"/>
      <c r="U63" s="178"/>
      <c r="V63" s="178"/>
      <c r="W63" s="178"/>
      <c r="X63" s="178"/>
      <c r="Y63" s="96"/>
    </row>
    <row r="64" spans="2:25" s="56" customFormat="1" ht="16" thickBot="1" x14ac:dyDescent="0.6">
      <c r="B64" s="217"/>
      <c r="C64" s="217"/>
      <c r="D64" s="217"/>
      <c r="E64" s="217"/>
      <c r="F64" s="217"/>
      <c r="G64" s="217"/>
      <c r="H64" s="217"/>
      <c r="I64" s="217"/>
      <c r="J64" s="216"/>
      <c r="K64" s="212" t="s">
        <v>73</v>
      </c>
      <c r="L64" s="212"/>
      <c r="M64" s="212"/>
      <c r="N64" s="212"/>
      <c r="O64" s="218"/>
      <c r="P64" s="372" t="s">
        <v>72</v>
      </c>
      <c r="Q64" s="373"/>
      <c r="R64" s="373"/>
      <c r="S64" s="373"/>
      <c r="T64" s="373"/>
      <c r="U64" s="374"/>
      <c r="V64" s="375" t="s">
        <v>4</v>
      </c>
      <c r="W64" s="376"/>
      <c r="X64" s="376"/>
      <c r="Y64"/>
    </row>
    <row r="65" spans="2:24" s="36" customFormat="1" ht="15.7" x14ac:dyDescent="0.55000000000000004">
      <c r="B65" s="111"/>
      <c r="C65" s="111"/>
      <c r="D65" s="111"/>
      <c r="E65" s="111"/>
      <c r="F65" s="111"/>
      <c r="G65" s="300" t="s">
        <v>32</v>
      </c>
      <c r="H65" s="215" t="s">
        <v>33</v>
      </c>
      <c r="I65" s="215" t="s">
        <v>142</v>
      </c>
      <c r="J65" s="111"/>
      <c r="K65" s="59" t="str">
        <f>+K10</f>
        <v>Lined</v>
      </c>
      <c r="L65" s="59" t="str">
        <f t="shared" ref="L65:U65" si="21">+L10</f>
        <v>Unlined</v>
      </c>
      <c r="M65" s="59" t="s">
        <v>61</v>
      </c>
      <c r="N65" s="59" t="s">
        <v>182</v>
      </c>
      <c r="O65" s="203" t="str">
        <f t="shared" si="21"/>
        <v>TOTAL</v>
      </c>
      <c r="P65" s="202"/>
      <c r="Q65" s="59"/>
      <c r="R65" s="59"/>
      <c r="S65" s="59" t="str">
        <f t="shared" si="21"/>
        <v>EPS</v>
      </c>
      <c r="T65" s="59" t="s">
        <v>71</v>
      </c>
      <c r="U65" s="203" t="str">
        <f t="shared" si="21"/>
        <v>TOTAL</v>
      </c>
      <c r="V65" s="59"/>
      <c r="W65" s="59"/>
      <c r="X65" s="59"/>
    </row>
    <row r="66" spans="2:24" s="36" customFormat="1" ht="16" thickBot="1" x14ac:dyDescent="0.6">
      <c r="B66" s="39"/>
      <c r="C66" s="39"/>
      <c r="D66" s="39"/>
      <c r="E66" s="39"/>
      <c r="F66" s="39"/>
      <c r="G66" s="301" t="s">
        <v>44</v>
      </c>
      <c r="H66" s="40" t="s">
        <v>56</v>
      </c>
      <c r="I66" s="301" t="s">
        <v>143</v>
      </c>
      <c r="J66" s="111"/>
      <c r="K66" s="29" t="str">
        <f>+K11</f>
        <v>Paper</v>
      </c>
      <c r="L66" s="29" t="str">
        <f t="shared" ref="L66:X66" si="22">+L11</f>
        <v>Paper</v>
      </c>
      <c r="M66" s="29" t="s">
        <v>62</v>
      </c>
      <c r="N66" s="29" t="s">
        <v>62</v>
      </c>
      <c r="O66" s="70" t="str">
        <f t="shared" si="22"/>
        <v>PAPER</v>
      </c>
      <c r="P66" s="58" t="str">
        <f t="shared" si="22"/>
        <v>PET</v>
      </c>
      <c r="Q66" s="29" t="str">
        <f t="shared" si="22"/>
        <v>PP</v>
      </c>
      <c r="R66" s="29" t="str">
        <f t="shared" si="22"/>
        <v>PS</v>
      </c>
      <c r="S66" s="29" t="str">
        <f t="shared" si="22"/>
        <v>Foam</v>
      </c>
      <c r="T66" s="29" t="s">
        <v>183</v>
      </c>
      <c r="U66" s="70" t="str">
        <f t="shared" si="22"/>
        <v>PLASTIC</v>
      </c>
      <c r="V66" s="29" t="str">
        <f t="shared" si="22"/>
        <v>PLA</v>
      </c>
      <c r="W66" s="29" t="str">
        <f t="shared" si="22"/>
        <v>Aluminum</v>
      </c>
      <c r="X66" s="29" t="str">
        <f t="shared" si="22"/>
        <v>Wood</v>
      </c>
    </row>
    <row r="67" spans="2:24" s="1" customFormat="1" ht="15.7" x14ac:dyDescent="0.55000000000000004">
      <c r="B67" s="7" t="s">
        <v>21</v>
      </c>
      <c r="C67" s="8"/>
      <c r="D67" s="8"/>
      <c r="E67" s="9"/>
      <c r="F67" s="9"/>
      <c r="G67" s="302"/>
      <c r="H67" s="54"/>
      <c r="I67" s="54"/>
      <c r="J67" s="64"/>
      <c r="K67" s="179"/>
      <c r="L67" s="179"/>
      <c r="M67" s="179"/>
      <c r="N67" s="179"/>
      <c r="O67" s="180"/>
      <c r="P67" s="181"/>
      <c r="Q67" s="179"/>
      <c r="R67" s="179"/>
      <c r="S67" s="179"/>
      <c r="T67" s="179"/>
      <c r="U67" s="180"/>
      <c r="V67" s="179"/>
      <c r="W67" s="179"/>
      <c r="X67" s="179"/>
    </row>
    <row r="68" spans="2:24" s="1" customFormat="1" x14ac:dyDescent="0.5">
      <c r="B68" s="94" t="s">
        <v>59</v>
      </c>
      <c r="C68" s="56"/>
      <c r="D68" s="56"/>
      <c r="E68" s="55"/>
      <c r="F68" s="55"/>
      <c r="G68" s="303"/>
      <c r="H68" s="95"/>
      <c r="I68" s="95"/>
      <c r="J68" s="64"/>
      <c r="K68" s="74"/>
      <c r="L68" s="74"/>
      <c r="M68" s="74"/>
      <c r="N68" s="74"/>
      <c r="O68" s="137"/>
      <c r="P68" s="136"/>
      <c r="Q68" s="74"/>
      <c r="R68" s="74"/>
      <c r="S68" s="74"/>
      <c r="T68" s="74"/>
      <c r="U68" s="137"/>
      <c r="V68" s="74"/>
      <c r="W68" s="74"/>
      <c r="X68" s="74"/>
    </row>
    <row r="69" spans="2:24" s="1" customFormat="1" x14ac:dyDescent="0.5">
      <c r="B69" s="2"/>
      <c r="C69" s="1" t="s">
        <v>52</v>
      </c>
      <c r="G69" s="293"/>
      <c r="H69" s="99">
        <f ca="1">+SUM(O69,U69:X69)</f>
        <v>225265.83429399732</v>
      </c>
      <c r="I69" s="305">
        <f ca="1">H69/$H$60</f>
        <v>4.5678298809363464E-2</v>
      </c>
      <c r="J69" s="112"/>
      <c r="K69" s="74">
        <f ca="1">+K14*Recycling!G16</f>
        <v>47610.178270143355</v>
      </c>
      <c r="L69" s="74">
        <f ca="1">+L14*Recycling!H16</f>
        <v>177655.65602385398</v>
      </c>
      <c r="M69" s="74">
        <f ca="1">+M14*Recycling!I16</f>
        <v>0</v>
      </c>
      <c r="N69" s="74">
        <f ca="1">+N14*Recycling!J16</f>
        <v>0</v>
      </c>
      <c r="O69" s="137">
        <f ca="1">SUM(K69:N69)</f>
        <v>225265.83429399732</v>
      </c>
      <c r="P69" s="136">
        <f ca="1">+P14*Recycling!K16</f>
        <v>0</v>
      </c>
      <c r="Q69" s="74">
        <f ca="1">+Q14*Recycling!L16</f>
        <v>0</v>
      </c>
      <c r="R69" s="74">
        <f ca="1">+R14*Recycling!M16</f>
        <v>0</v>
      </c>
      <c r="S69" s="74">
        <f ca="1">+S14*Recycling!N16</f>
        <v>0</v>
      </c>
      <c r="T69" s="74">
        <f ca="1">+T14*Recycling!O16</f>
        <v>0</v>
      </c>
      <c r="U69" s="137">
        <f ca="1">SUM(P69:T69)</f>
        <v>0</v>
      </c>
      <c r="V69" s="74">
        <f ca="1">+V14*Recycling!P16</f>
        <v>0</v>
      </c>
      <c r="W69" s="74">
        <f ca="1">+W14*Recycling!Q16</f>
        <v>0</v>
      </c>
      <c r="X69" s="74">
        <f ca="1">+X14*Recycling!R16</f>
        <v>0</v>
      </c>
    </row>
    <row r="70" spans="2:24" s="1" customFormat="1" x14ac:dyDescent="0.5">
      <c r="B70" s="2"/>
      <c r="C70" s="1" t="s">
        <v>4</v>
      </c>
      <c r="G70" s="293"/>
      <c r="H70" s="99">
        <f ca="1">+SUM(O70,U70:X70)</f>
        <v>44728.101687329494</v>
      </c>
      <c r="I70" s="305">
        <f t="shared" ref="I70:I73" ca="1" si="23">H70/$H$60</f>
        <v>9.0697446439345526E-3</v>
      </c>
      <c r="J70" s="112"/>
      <c r="K70" s="74">
        <f ca="1">+K15*Recycling!G17</f>
        <v>44728.101687329494</v>
      </c>
      <c r="L70" s="74">
        <f ca="1">+L15*Recycling!H17</f>
        <v>0</v>
      </c>
      <c r="M70" s="74">
        <f ca="1">+M15*Recycling!I17</f>
        <v>0</v>
      </c>
      <c r="N70" s="74">
        <f ca="1">+N15*Recycling!J17</f>
        <v>0</v>
      </c>
      <c r="O70" s="137">
        <f ca="1">SUM(K70:N70)</f>
        <v>44728.101687329494</v>
      </c>
      <c r="P70" s="136">
        <f ca="1">+P15*Recycling!K17</f>
        <v>0</v>
      </c>
      <c r="Q70" s="74">
        <f ca="1">+Q15*Recycling!L17</f>
        <v>0</v>
      </c>
      <c r="R70" s="74">
        <f ca="1">+R15*Recycling!M17</f>
        <v>0</v>
      </c>
      <c r="S70" s="74">
        <f ca="1">+S15*Recycling!N17</f>
        <v>0</v>
      </c>
      <c r="T70" s="74">
        <f ca="1">+T15*Recycling!O17</f>
        <v>0</v>
      </c>
      <c r="U70" s="137">
        <f ca="1">SUM(P70:T70)</f>
        <v>0</v>
      </c>
      <c r="V70" s="74">
        <f ca="1">+V15*Recycling!P17</f>
        <v>0</v>
      </c>
      <c r="W70" s="74">
        <f ca="1">+W15*Recycling!Q17</f>
        <v>0</v>
      </c>
      <c r="X70" s="74">
        <f ca="1">+X15*Recycling!R17</f>
        <v>0</v>
      </c>
    </row>
    <row r="71" spans="2:24" s="1" customFormat="1" x14ac:dyDescent="0.5">
      <c r="B71" s="2" t="s">
        <v>5</v>
      </c>
      <c r="E71" s="2"/>
      <c r="F71" s="2"/>
      <c r="G71" s="293"/>
      <c r="H71" s="99">
        <f ca="1">+SUM(O71,U71:X71)</f>
        <v>145057.31030411349</v>
      </c>
      <c r="I71" s="305">
        <f t="shared" ca="1" si="23"/>
        <v>2.9414008499425676E-2</v>
      </c>
      <c r="J71" s="112"/>
      <c r="K71" s="74">
        <f ca="1">+K16*Recycling!G18</f>
        <v>2650.883716454086</v>
      </c>
      <c r="L71" s="74">
        <f ca="1">+L16*Recycling!H18</f>
        <v>5301.7674329081719</v>
      </c>
      <c r="M71" s="74">
        <f ca="1">+M16*Recycling!I18</f>
        <v>5296.191661943265</v>
      </c>
      <c r="N71" s="74">
        <f ca="1">+N16*Recycling!J18</f>
        <v>5833.7246782354196</v>
      </c>
      <c r="O71" s="137">
        <f ca="1">SUM(K71:N71)</f>
        <v>19082.567489540943</v>
      </c>
      <c r="P71" s="136">
        <f ca="1">+P16*Recycling!K18</f>
        <v>32935.880401058217</v>
      </c>
      <c r="Q71" s="74">
        <f ca="1">+Q16*Recycling!L18</f>
        <v>65464.353971018048</v>
      </c>
      <c r="R71" s="74">
        <f ca="1">+R16*Recycling!M18</f>
        <v>27574.508442496295</v>
      </c>
      <c r="S71" s="74">
        <f ca="1">+S16*Recycling!N18</f>
        <v>0</v>
      </c>
      <c r="T71" s="74">
        <f ca="1">+T16*Recycling!O18</f>
        <v>0</v>
      </c>
      <c r="U71" s="137">
        <f ca="1">SUM(P71:T71)</f>
        <v>125974.74281457256</v>
      </c>
      <c r="V71" s="74">
        <f ca="1">+V16*Recycling!P18</f>
        <v>0</v>
      </c>
      <c r="W71" s="74">
        <f ca="1">+W16*Recycling!Q18</f>
        <v>0</v>
      </c>
      <c r="X71" s="74">
        <f ca="1">+X16*Recycling!R18</f>
        <v>0</v>
      </c>
    </row>
    <row r="72" spans="2:24" s="1" customFormat="1" x14ac:dyDescent="0.5">
      <c r="B72" s="47" t="s">
        <v>6</v>
      </c>
      <c r="C72" s="48"/>
      <c r="D72" s="48"/>
      <c r="E72" s="48"/>
      <c r="F72" s="48"/>
      <c r="G72" s="293"/>
      <c r="H72" s="101">
        <f ca="1">+SUM(O72,U72:X72)</f>
        <v>99847.811609008932</v>
      </c>
      <c r="I72" s="307">
        <f t="shared" ca="1" si="23"/>
        <v>2.0246648536079732E-2</v>
      </c>
      <c r="J72" s="112"/>
      <c r="K72" s="49">
        <f ca="1">+K17*Recycling!G19</f>
        <v>4859.8889898926363</v>
      </c>
      <c r="L72" s="49">
        <f ca="1">+L17*Recycling!H19</f>
        <v>0</v>
      </c>
      <c r="M72" s="49">
        <f ca="1">+M17*Recycling!I19</f>
        <v>61851.987819798611</v>
      </c>
      <c r="N72" s="49">
        <f ca="1">+N17*Recycling!J19</f>
        <v>2029.330294801832</v>
      </c>
      <c r="O72" s="144">
        <f ca="1">SUM(K72:N72)</f>
        <v>68741.207104493093</v>
      </c>
      <c r="P72" s="143">
        <f ca="1">+P17*Recycling!K19</f>
        <v>9093.6087760040118</v>
      </c>
      <c r="Q72" s="49">
        <f ca="1">+Q17*Recycling!L19</f>
        <v>14293.414541137696</v>
      </c>
      <c r="R72" s="49">
        <f ca="1">+R17*Recycling!M19</f>
        <v>5949.1720139177787</v>
      </c>
      <c r="S72" s="49">
        <f ca="1">+S17*Recycling!N19</f>
        <v>0</v>
      </c>
      <c r="T72" s="49">
        <f ca="1">+T17*Recycling!O19</f>
        <v>0</v>
      </c>
      <c r="U72" s="144">
        <f ca="1">SUM(P72:T72)</f>
        <v>29336.195331059484</v>
      </c>
      <c r="V72" s="49">
        <f ca="1">+V17*Recycling!P19</f>
        <v>0</v>
      </c>
      <c r="W72" s="49">
        <f ca="1">+W17*Recycling!Q19</f>
        <v>1770.4091734563513</v>
      </c>
      <c r="X72" s="49">
        <f ca="1">+X17*Recycling!R19</f>
        <v>0</v>
      </c>
    </row>
    <row r="73" spans="2:24" s="43" customFormat="1" x14ac:dyDescent="0.5">
      <c r="B73" s="44" t="s">
        <v>34</v>
      </c>
      <c r="G73" s="294"/>
      <c r="H73" s="103">
        <f ca="1">SUM(H69:H72)</f>
        <v>514899.05789444922</v>
      </c>
      <c r="I73" s="308">
        <f t="shared" ca="1" si="23"/>
        <v>0.10440870048880342</v>
      </c>
      <c r="J73" s="113"/>
      <c r="K73" s="152">
        <f t="shared" ref="K73:R73" ca="1" si="24">SUM(K69:K72)</f>
        <v>99849.052663819573</v>
      </c>
      <c r="L73" s="152">
        <f t="shared" ca="1" si="24"/>
        <v>182957.42345676216</v>
      </c>
      <c r="M73" s="152">
        <f ca="1">SUM(M69:M72)</f>
        <v>67148.17948174187</v>
      </c>
      <c r="N73" s="152">
        <f ca="1">SUM(N69:N72)</f>
        <v>7863.0549730372513</v>
      </c>
      <c r="O73" s="137">
        <f t="shared" ca="1" si="24"/>
        <v>357817.71057536086</v>
      </c>
      <c r="P73" s="151">
        <f t="shared" ca="1" si="24"/>
        <v>42029.489177062227</v>
      </c>
      <c r="Q73" s="152">
        <f t="shared" ca="1" si="24"/>
        <v>79757.768512155744</v>
      </c>
      <c r="R73" s="152">
        <f t="shared" ca="1" si="24"/>
        <v>33523.680456414077</v>
      </c>
      <c r="S73" s="152">
        <f ca="1">SUM(S69:S72)</f>
        <v>0</v>
      </c>
      <c r="T73" s="152">
        <f t="shared" ref="T73:X73" ca="1" si="25">SUM(T69:T72)</f>
        <v>0</v>
      </c>
      <c r="U73" s="137">
        <f t="shared" ca="1" si="25"/>
        <v>155310.93814563204</v>
      </c>
      <c r="V73" s="152">
        <f t="shared" ca="1" si="25"/>
        <v>0</v>
      </c>
      <c r="W73" s="152">
        <f t="shared" ca="1" si="25"/>
        <v>1770.4091734563513</v>
      </c>
      <c r="X73" s="152">
        <f t="shared" ca="1" si="25"/>
        <v>0</v>
      </c>
    </row>
    <row r="74" spans="2:24" s="1" customFormat="1" ht="7.1" customHeight="1" x14ac:dyDescent="0.5">
      <c r="B74" s="3"/>
      <c r="G74" s="295"/>
      <c r="H74" s="100"/>
      <c r="I74" s="100"/>
      <c r="J74" s="112"/>
      <c r="K74" s="74"/>
      <c r="L74" s="74"/>
      <c r="M74" s="74"/>
      <c r="N74" s="74"/>
      <c r="O74" s="137"/>
      <c r="P74" s="136"/>
      <c r="Q74" s="74"/>
      <c r="R74" s="74"/>
      <c r="S74" s="74"/>
      <c r="T74" s="74"/>
      <c r="U74" s="137"/>
      <c r="V74" s="74"/>
      <c r="W74" s="74"/>
      <c r="X74" s="74"/>
    </row>
    <row r="75" spans="2:24" s="1" customFormat="1" x14ac:dyDescent="0.5">
      <c r="B75" s="10" t="s">
        <v>22</v>
      </c>
      <c r="C75" s="9"/>
      <c r="D75" s="9"/>
      <c r="E75" s="9"/>
      <c r="F75" s="9"/>
      <c r="G75" s="294"/>
      <c r="H75" s="106"/>
      <c r="I75" s="106"/>
      <c r="J75" s="112"/>
      <c r="K75" s="140"/>
      <c r="L75" s="140"/>
      <c r="M75" s="140"/>
      <c r="N75" s="140"/>
      <c r="O75" s="141"/>
      <c r="P75" s="139"/>
      <c r="Q75" s="140"/>
      <c r="R75" s="140"/>
      <c r="S75" s="140"/>
      <c r="T75" s="140"/>
      <c r="U75" s="141"/>
      <c r="V75" s="140"/>
      <c r="W75" s="140"/>
      <c r="X75" s="140"/>
    </row>
    <row r="76" spans="2:24" s="1" customFormat="1" x14ac:dyDescent="0.5">
      <c r="B76" s="2" t="s">
        <v>53</v>
      </c>
      <c r="G76" s="296"/>
      <c r="H76" s="100"/>
      <c r="I76" s="100"/>
      <c r="J76" s="112"/>
      <c r="K76" s="74"/>
      <c r="L76" s="74"/>
      <c r="M76" s="74"/>
      <c r="N76" s="74"/>
      <c r="O76" s="137"/>
      <c r="P76" s="136"/>
      <c r="Q76" s="74"/>
      <c r="R76" s="74"/>
      <c r="S76" s="74"/>
      <c r="T76" s="74"/>
      <c r="U76" s="137"/>
      <c r="V76" s="74"/>
      <c r="W76" s="74"/>
      <c r="X76" s="74"/>
    </row>
    <row r="77" spans="2:24" s="1" customFormat="1" x14ac:dyDescent="0.5">
      <c r="B77" s="2"/>
      <c r="C77" s="2" t="s">
        <v>47</v>
      </c>
      <c r="G77" s="293"/>
      <c r="H77" s="99">
        <f ca="1">+SUM(O77,U77:X77)</f>
        <v>45999.14429587841</v>
      </c>
      <c r="I77" s="305">
        <f ca="1">H77/$H$60</f>
        <v>9.3274804175581573E-3</v>
      </c>
      <c r="J77" s="112"/>
      <c r="K77" s="74">
        <f ca="1">+K22*Recycling!G23</f>
        <v>0</v>
      </c>
      <c r="L77" s="74">
        <f ca="1">+L22*Recycling!H23</f>
        <v>0</v>
      </c>
      <c r="M77" s="74">
        <f ca="1">+M22*Recycling!I23</f>
        <v>0</v>
      </c>
      <c r="N77" s="74">
        <f ca="1">+N22*Recycling!J23</f>
        <v>0</v>
      </c>
      <c r="O77" s="137">
        <f ca="1">SUM(K77:N77)</f>
        <v>0</v>
      </c>
      <c r="P77" s="136">
        <f ca="1">+P22*Recycling!K23</f>
        <v>0</v>
      </c>
      <c r="Q77" s="74">
        <f ca="1">+Q22*Recycling!L23</f>
        <v>0</v>
      </c>
      <c r="R77" s="74">
        <f ca="1">+R22*Recycling!M23</f>
        <v>45999.14429587841</v>
      </c>
      <c r="S77" s="74">
        <f ca="1">+S22*Recycling!N23</f>
        <v>0</v>
      </c>
      <c r="T77" s="74">
        <f ca="1">+T22*Recycling!O23</f>
        <v>0</v>
      </c>
      <c r="U77" s="137">
        <f t="shared" ref="U77:U80" ca="1" si="26">SUM(P77:T77)</f>
        <v>45999.14429587841</v>
      </c>
      <c r="V77" s="74">
        <f ca="1">+V22*Recycling!P23</f>
        <v>0</v>
      </c>
      <c r="W77" s="74">
        <f ca="1">+W22*Recycling!Q23</f>
        <v>0</v>
      </c>
      <c r="X77" s="74">
        <f ca="1">+X22*Recycling!R23</f>
        <v>0</v>
      </c>
    </row>
    <row r="78" spans="2:24" s="1" customFormat="1" x14ac:dyDescent="0.5">
      <c r="B78" s="3"/>
      <c r="C78" s="2" t="s">
        <v>48</v>
      </c>
      <c r="E78" s="2"/>
      <c r="F78" s="2"/>
      <c r="G78" s="293"/>
      <c r="H78" s="99">
        <f ca="1">+SUM(O78,U78:X78)</f>
        <v>184873.5137697499</v>
      </c>
      <c r="I78" s="305">
        <f t="shared" ref="I78:I81" ca="1" si="27">H78/$H$60</f>
        <v>3.7487742561485425E-2</v>
      </c>
      <c r="J78" s="112"/>
      <c r="K78" s="74">
        <f ca="1">+K23*Recycling!G24</f>
        <v>0</v>
      </c>
      <c r="L78" s="74">
        <f ca="1">+L23*Recycling!H24</f>
        <v>0</v>
      </c>
      <c r="M78" s="74">
        <f ca="1">+M23*Recycling!I24</f>
        <v>0</v>
      </c>
      <c r="N78" s="74">
        <f ca="1">+N23*Recycling!J24</f>
        <v>0</v>
      </c>
      <c r="O78" s="137">
        <f ca="1">SUM(K78:N78)</f>
        <v>0</v>
      </c>
      <c r="P78" s="136">
        <f ca="1">+P23*Recycling!K24</f>
        <v>181455.60726002877</v>
      </c>
      <c r="Q78" s="74">
        <f ca="1">+Q23*Recycling!L24</f>
        <v>0</v>
      </c>
      <c r="R78" s="74">
        <f ca="1">+R23*Recycling!M24</f>
        <v>3417.906509721126</v>
      </c>
      <c r="S78" s="74">
        <f ca="1">+S23*Recycling!N24</f>
        <v>0</v>
      </c>
      <c r="T78" s="74">
        <f ca="1">+T23*Recycling!O24</f>
        <v>0</v>
      </c>
      <c r="U78" s="137">
        <f t="shared" ca="1" si="26"/>
        <v>184873.5137697499</v>
      </c>
      <c r="V78" s="74">
        <f ca="1">+V23*Recycling!P24</f>
        <v>0</v>
      </c>
      <c r="W78" s="74">
        <f ca="1">+W23*Recycling!Q24</f>
        <v>0</v>
      </c>
      <c r="X78" s="74">
        <f ca="1">+X23*Recycling!R24</f>
        <v>0</v>
      </c>
    </row>
    <row r="79" spans="2:24" s="1" customFormat="1" x14ac:dyDescent="0.5">
      <c r="B79" s="2" t="s">
        <v>46</v>
      </c>
      <c r="C79" s="2"/>
      <c r="E79" s="2"/>
      <c r="F79" s="2"/>
      <c r="G79" s="293"/>
      <c r="H79" s="99">
        <f ca="1">+SUM(O79,U79:X79)</f>
        <v>38157.104638957659</v>
      </c>
      <c r="I79" s="305">
        <f t="shared" ca="1" si="27"/>
        <v>7.7373101556257673E-3</v>
      </c>
      <c r="J79" s="112"/>
      <c r="K79" s="74">
        <f ca="1">+K24*Recycling!G25</f>
        <v>0</v>
      </c>
      <c r="L79" s="74">
        <f ca="1">+L24*Recycling!H25</f>
        <v>0</v>
      </c>
      <c r="M79" s="74">
        <f ca="1">+M24*Recycling!I25</f>
        <v>0</v>
      </c>
      <c r="N79" s="74">
        <f ca="1">+N24*Recycling!J25</f>
        <v>0</v>
      </c>
      <c r="O79" s="137">
        <f ca="1">SUM(K79:N79)</f>
        <v>0</v>
      </c>
      <c r="P79" s="136">
        <f ca="1">+P24*Recycling!K25</f>
        <v>38157.104638957659</v>
      </c>
      <c r="Q79" s="74">
        <f ca="1">+Q24*Recycling!L25</f>
        <v>0</v>
      </c>
      <c r="R79" s="74">
        <f ca="1">+R24*Recycling!M25</f>
        <v>0</v>
      </c>
      <c r="S79" s="74">
        <f ca="1">+S24*Recycling!N25</f>
        <v>0</v>
      </c>
      <c r="T79" s="74">
        <f ca="1">+T24*Recycling!O25</f>
        <v>0</v>
      </c>
      <c r="U79" s="137">
        <f t="shared" ca="1" si="26"/>
        <v>38157.104638957659</v>
      </c>
      <c r="V79" s="74">
        <f ca="1">+V24*Recycling!P25</f>
        <v>0</v>
      </c>
      <c r="W79" s="74">
        <f ca="1">+W24*Recycling!Q25</f>
        <v>0</v>
      </c>
      <c r="X79" s="74">
        <f ca="1">+X24*Recycling!R25</f>
        <v>0</v>
      </c>
    </row>
    <row r="80" spans="2:24" s="1" customFormat="1" x14ac:dyDescent="0.5">
      <c r="B80" s="47" t="s">
        <v>8</v>
      </c>
      <c r="C80" s="48"/>
      <c r="D80" s="48"/>
      <c r="E80" s="47"/>
      <c r="F80" s="47"/>
      <c r="G80" s="293"/>
      <c r="H80" s="101">
        <f ca="1">+SUM(O80,U80:X80)</f>
        <v>98487.408811126734</v>
      </c>
      <c r="I80" s="307">
        <f t="shared" ca="1" si="27"/>
        <v>1.9970792742423707E-2</v>
      </c>
      <c r="J80" s="112"/>
      <c r="K80" s="49">
        <f ca="1">+K25*Recycling!G26</f>
        <v>0</v>
      </c>
      <c r="L80" s="49">
        <f ca="1">+L25*Recycling!H26</f>
        <v>0</v>
      </c>
      <c r="M80" s="49">
        <f ca="1">+M25*Recycling!I26</f>
        <v>1266.9916033796858</v>
      </c>
      <c r="N80" s="49">
        <f ca="1">+N25*Recycling!J26</f>
        <v>0</v>
      </c>
      <c r="O80" s="144">
        <f ca="1">SUM(K80:N80)</f>
        <v>1266.9916033796858</v>
      </c>
      <c r="P80" s="143">
        <f ca="1">+P25*Recycling!K26</f>
        <v>35165.481236660664</v>
      </c>
      <c r="Q80" s="49">
        <f ca="1">+Q25*Recycling!L26</f>
        <v>60420.919022283219</v>
      </c>
      <c r="R80" s="49">
        <f ca="1">+R25*Recycling!M26</f>
        <v>1634.0169488031659</v>
      </c>
      <c r="S80" s="49">
        <f ca="1">+S25*Recycling!N26</f>
        <v>0</v>
      </c>
      <c r="T80" s="49">
        <f ca="1">+T25*Recycling!O26</f>
        <v>0</v>
      </c>
      <c r="U80" s="144">
        <f t="shared" ca="1" si="26"/>
        <v>97220.417207747043</v>
      </c>
      <c r="V80" s="49">
        <f ca="1">+V25*Recycling!P26</f>
        <v>0</v>
      </c>
      <c r="W80" s="49">
        <f ca="1">+W25*Recycling!Q26</f>
        <v>0</v>
      </c>
      <c r="X80" s="49">
        <f ca="1">+X25*Recycling!R26</f>
        <v>0</v>
      </c>
    </row>
    <row r="81" spans="2:24" s="43" customFormat="1" x14ac:dyDescent="0.5">
      <c r="B81" s="44" t="s">
        <v>35</v>
      </c>
      <c r="E81" s="44"/>
      <c r="F81" s="44"/>
      <c r="G81" s="294"/>
      <c r="H81" s="103">
        <f ca="1">SUM(H77:H80)</f>
        <v>367517.17151571269</v>
      </c>
      <c r="I81" s="308">
        <f t="shared" ca="1" si="27"/>
        <v>7.4523325877093052E-2</v>
      </c>
      <c r="J81" s="113"/>
      <c r="K81" s="152">
        <f ca="1">SUM(K77:K80)</f>
        <v>0</v>
      </c>
      <c r="L81" s="152">
        <f t="shared" ref="L81:R81" ca="1" si="28">SUM(L77:L80)</f>
        <v>0</v>
      </c>
      <c r="M81" s="152">
        <f ca="1">SUM(M77:M80)</f>
        <v>1266.9916033796858</v>
      </c>
      <c r="N81" s="152">
        <f ca="1">SUM(N77:N80)</f>
        <v>0</v>
      </c>
      <c r="O81" s="137">
        <f t="shared" ca="1" si="28"/>
        <v>1266.9916033796858</v>
      </c>
      <c r="P81" s="151">
        <f t="shared" ca="1" si="28"/>
        <v>254778.1931356471</v>
      </c>
      <c r="Q81" s="152">
        <f t="shared" ca="1" si="28"/>
        <v>60420.919022283219</v>
      </c>
      <c r="R81" s="152">
        <f t="shared" ca="1" si="28"/>
        <v>51051.067754402706</v>
      </c>
      <c r="S81" s="152">
        <f ca="1">SUM(S77:S80)</f>
        <v>0</v>
      </c>
      <c r="T81" s="152">
        <f t="shared" ref="T81:X81" ca="1" si="29">SUM(T77:T80)</f>
        <v>0</v>
      </c>
      <c r="U81" s="137">
        <f t="shared" ca="1" si="29"/>
        <v>366250.17991233303</v>
      </c>
      <c r="V81" s="152">
        <f t="shared" ca="1" si="29"/>
        <v>0</v>
      </c>
      <c r="W81" s="152">
        <f t="shared" ca="1" si="29"/>
        <v>0</v>
      </c>
      <c r="X81" s="152">
        <f t="shared" ca="1" si="29"/>
        <v>0</v>
      </c>
    </row>
    <row r="82" spans="2:24" s="1" customFormat="1" ht="7.1" customHeight="1" x14ac:dyDescent="0.5">
      <c r="B82" s="3"/>
      <c r="E82" s="2"/>
      <c r="F82" s="2"/>
      <c r="G82" s="295"/>
      <c r="H82" s="100"/>
      <c r="I82" s="100"/>
      <c r="J82" s="112"/>
      <c r="K82" s="74"/>
      <c r="L82" s="74"/>
      <c r="M82" s="74"/>
      <c r="N82" s="74"/>
      <c r="O82" s="137"/>
      <c r="P82" s="136"/>
      <c r="Q82" s="74"/>
      <c r="R82" s="74"/>
      <c r="S82" s="74"/>
      <c r="T82" s="74"/>
      <c r="U82" s="137"/>
      <c r="V82" s="74"/>
      <c r="W82" s="74"/>
      <c r="X82" s="74"/>
    </row>
    <row r="83" spans="2:24" s="1" customFormat="1" x14ac:dyDescent="0.5">
      <c r="B83" s="7" t="s">
        <v>23</v>
      </c>
      <c r="C83" s="9"/>
      <c r="D83" s="9"/>
      <c r="E83" s="9"/>
      <c r="F83" s="9"/>
      <c r="G83" s="294"/>
      <c r="H83" s="107"/>
      <c r="I83" s="107"/>
      <c r="J83" s="112"/>
      <c r="K83" s="140"/>
      <c r="L83" s="140"/>
      <c r="M83" s="140"/>
      <c r="N83" s="140"/>
      <c r="O83" s="141"/>
      <c r="P83" s="139"/>
      <c r="Q83" s="140"/>
      <c r="R83" s="140"/>
      <c r="S83" s="140"/>
      <c r="T83" s="140"/>
      <c r="U83" s="141"/>
      <c r="V83" s="140"/>
      <c r="W83" s="140"/>
      <c r="X83" s="140"/>
    </row>
    <row r="84" spans="2:24" s="1" customFormat="1" x14ac:dyDescent="0.5">
      <c r="B84" s="2" t="s">
        <v>45</v>
      </c>
      <c r="C84" s="2"/>
      <c r="F84" s="2"/>
      <c r="G84" s="293"/>
      <c r="H84" s="99">
        <f ca="1">+SUM(O84,U84:X84)</f>
        <v>714686.7506895893</v>
      </c>
      <c r="I84" s="305">
        <f t="shared" ref="I84:I86" ca="1" si="30">H84/$H$60</f>
        <v>0.14492066697733585</v>
      </c>
      <c r="J84" s="112"/>
      <c r="K84" s="74">
        <f ca="1">+K29*Recycling!G29</f>
        <v>0</v>
      </c>
      <c r="L84" s="74">
        <f ca="1">+L29*Recycling!H29</f>
        <v>714686.7506895893</v>
      </c>
      <c r="M84" s="74">
        <f ca="1">+M29*Recycling!I29</f>
        <v>0</v>
      </c>
      <c r="N84" s="74">
        <f ca="1">+N29*Recycling!J29</f>
        <v>0</v>
      </c>
      <c r="O84" s="137">
        <f ca="1">SUM(K84:N84)</f>
        <v>714686.7506895893</v>
      </c>
      <c r="P84" s="136">
        <f ca="1">+P29*Recycling!K29</f>
        <v>0</v>
      </c>
      <c r="Q84" s="74">
        <f ca="1">+Q29*Recycling!L29</f>
        <v>0</v>
      </c>
      <c r="R84" s="74">
        <f ca="1">+R29*Recycling!M29</f>
        <v>0</v>
      </c>
      <c r="S84" s="74">
        <f ca="1">+S29*Recycling!N29</f>
        <v>0</v>
      </c>
      <c r="T84" s="74">
        <f ca="1">+T29*Recycling!O29</f>
        <v>0</v>
      </c>
      <c r="U84" s="137">
        <f t="shared" ref="U84:U85" ca="1" si="31">SUM(P84:T84)</f>
        <v>0</v>
      </c>
      <c r="V84" s="74">
        <f ca="1">+V29*Recycling!P29</f>
        <v>0</v>
      </c>
      <c r="W84" s="74">
        <f ca="1">+W29*Recycling!Q29</f>
        <v>0</v>
      </c>
      <c r="X84" s="74">
        <f ca="1">+X29*Recycling!R29</f>
        <v>0</v>
      </c>
    </row>
    <row r="85" spans="2:24" s="1" customFormat="1" x14ac:dyDescent="0.5">
      <c r="B85" s="47" t="s">
        <v>9</v>
      </c>
      <c r="C85" s="48"/>
      <c r="D85" s="48"/>
      <c r="E85" s="47"/>
      <c r="F85" s="47"/>
      <c r="G85" s="293"/>
      <c r="H85" s="101">
        <f ca="1">+SUM(O85,U85:X85)</f>
        <v>3432.5545498823285</v>
      </c>
      <c r="I85" s="307">
        <f t="shared" ca="1" si="30"/>
        <v>6.9603654233838332E-4</v>
      </c>
      <c r="J85" s="112"/>
      <c r="K85" s="49">
        <f ca="1">+K30*Recycling!G30</f>
        <v>3432.5545498823285</v>
      </c>
      <c r="L85" s="49">
        <f ca="1">+L30*Recycling!H30</f>
        <v>0</v>
      </c>
      <c r="M85" s="49">
        <f ca="1">+M30*Recycling!I30</f>
        <v>0</v>
      </c>
      <c r="N85" s="49">
        <f ca="1">+N30*Recycling!J30</f>
        <v>0</v>
      </c>
      <c r="O85" s="144">
        <f ca="1">SUM(K85:N85)</f>
        <v>3432.5545498823285</v>
      </c>
      <c r="P85" s="143">
        <f ca="1">+P30*Recycling!K30</f>
        <v>0</v>
      </c>
      <c r="Q85" s="49">
        <f ca="1">+Q30*Recycling!L30</f>
        <v>0</v>
      </c>
      <c r="R85" s="49">
        <f ca="1">+R30*Recycling!M30</f>
        <v>0</v>
      </c>
      <c r="S85" s="49">
        <f ca="1">+S30*Recycling!N30</f>
        <v>0</v>
      </c>
      <c r="T85" s="49">
        <f ca="1">+T30*Recycling!O30</f>
        <v>0</v>
      </c>
      <c r="U85" s="144">
        <f t="shared" ca="1" si="31"/>
        <v>0</v>
      </c>
      <c r="V85" s="49">
        <f ca="1">+V30*Recycling!P30</f>
        <v>0</v>
      </c>
      <c r="W85" s="49">
        <f ca="1">+W30*Recycling!Q30</f>
        <v>0</v>
      </c>
      <c r="X85" s="49">
        <f ca="1">+X30*Recycling!R30</f>
        <v>0</v>
      </c>
    </row>
    <row r="86" spans="2:24" s="43" customFormat="1" x14ac:dyDescent="0.5">
      <c r="B86" s="44" t="s">
        <v>36</v>
      </c>
      <c r="E86" s="44"/>
      <c r="F86" s="44"/>
      <c r="G86" s="297"/>
      <c r="H86" s="103">
        <f ca="1">SUM(H84:H85)</f>
        <v>718119.30523947161</v>
      </c>
      <c r="I86" s="308">
        <f t="shared" ca="1" si="30"/>
        <v>0.14561670351967423</v>
      </c>
      <c r="J86" s="113"/>
      <c r="K86" s="152">
        <f t="shared" ref="K86:R86" ca="1" si="32">SUM(K84:K85)</f>
        <v>3432.5545498823285</v>
      </c>
      <c r="L86" s="152">
        <f t="shared" ca="1" si="32"/>
        <v>714686.7506895893</v>
      </c>
      <c r="M86" s="152">
        <f ca="1">SUM(M84:M85)</f>
        <v>0</v>
      </c>
      <c r="N86" s="152">
        <f ca="1">SUM(N84:N85)</f>
        <v>0</v>
      </c>
      <c r="O86" s="137">
        <f t="shared" ca="1" si="32"/>
        <v>718119.30523947161</v>
      </c>
      <c r="P86" s="151">
        <f t="shared" ca="1" si="32"/>
        <v>0</v>
      </c>
      <c r="Q86" s="152">
        <f t="shared" ca="1" si="32"/>
        <v>0</v>
      </c>
      <c r="R86" s="152">
        <f t="shared" ca="1" si="32"/>
        <v>0</v>
      </c>
      <c r="S86" s="152">
        <f ca="1">SUM(S84:S85)</f>
        <v>0</v>
      </c>
      <c r="T86" s="152">
        <f t="shared" ref="T86:X86" ca="1" si="33">SUM(T84:T85)</f>
        <v>0</v>
      </c>
      <c r="U86" s="137">
        <f t="shared" ca="1" si="33"/>
        <v>0</v>
      </c>
      <c r="V86" s="152">
        <f t="shared" ca="1" si="33"/>
        <v>0</v>
      </c>
      <c r="W86" s="152">
        <f t="shared" ca="1" si="33"/>
        <v>0</v>
      </c>
      <c r="X86" s="152">
        <f t="shared" ca="1" si="33"/>
        <v>0</v>
      </c>
    </row>
    <row r="87" spans="2:24" s="1" customFormat="1" ht="7.1" customHeight="1" x14ac:dyDescent="0.5">
      <c r="B87" s="3"/>
      <c r="G87" s="295"/>
      <c r="H87" s="100"/>
      <c r="I87" s="100"/>
      <c r="J87" s="112"/>
      <c r="K87" s="74"/>
      <c r="L87" s="74"/>
      <c r="M87" s="74"/>
      <c r="N87" s="74"/>
      <c r="O87" s="137"/>
      <c r="P87" s="136"/>
      <c r="Q87" s="74"/>
      <c r="R87" s="74"/>
      <c r="S87" s="74"/>
      <c r="T87" s="74"/>
      <c r="U87" s="137"/>
      <c r="V87" s="74"/>
      <c r="W87" s="74"/>
      <c r="X87" s="74"/>
    </row>
    <row r="88" spans="2:24" s="1" customFormat="1" x14ac:dyDescent="0.5">
      <c r="B88" s="7" t="s">
        <v>10</v>
      </c>
      <c r="C88" s="9"/>
      <c r="D88" s="9"/>
      <c r="E88" s="9"/>
      <c r="F88" s="9"/>
      <c r="G88" s="294"/>
      <c r="H88" s="105"/>
      <c r="I88" s="105"/>
      <c r="J88" s="112"/>
      <c r="K88" s="140"/>
      <c r="L88" s="140"/>
      <c r="M88" s="140"/>
      <c r="N88" s="140"/>
      <c r="O88" s="141"/>
      <c r="P88" s="139"/>
      <c r="Q88" s="140"/>
      <c r="R88" s="140"/>
      <c r="S88" s="140"/>
      <c r="T88" s="140"/>
      <c r="U88" s="141"/>
      <c r="V88" s="140"/>
      <c r="W88" s="140"/>
      <c r="X88" s="140"/>
    </row>
    <row r="89" spans="2:24" s="1" customFormat="1" x14ac:dyDescent="0.5">
      <c r="B89" s="2" t="s">
        <v>49</v>
      </c>
      <c r="G89" s="293"/>
      <c r="H89" s="99">
        <f ca="1">+SUM(O89,U89:X89)</f>
        <v>85332.467573022062</v>
      </c>
      <c r="I89" s="305">
        <f t="shared" ref="I89:I91" ca="1" si="34">H89/$H$60</f>
        <v>1.7303298408109666E-2</v>
      </c>
      <c r="J89" s="112"/>
      <c r="K89" s="74">
        <f ca="1">+K34*Recycling!G33</f>
        <v>85332.467573022062</v>
      </c>
      <c r="L89" s="74">
        <f ca="1">+L34*Recycling!H33</f>
        <v>0</v>
      </c>
      <c r="M89" s="74">
        <f ca="1">+M34*Recycling!I33</f>
        <v>0</v>
      </c>
      <c r="N89" s="74">
        <f ca="1">+N34*Recycling!J33</f>
        <v>0</v>
      </c>
      <c r="O89" s="137">
        <f ca="1">SUM(K89:N89)</f>
        <v>85332.467573022062</v>
      </c>
      <c r="P89" s="136">
        <f ca="1">+P34*Recycling!K33</f>
        <v>0</v>
      </c>
      <c r="Q89" s="74">
        <f ca="1">+Q34*Recycling!L33</f>
        <v>0</v>
      </c>
      <c r="R89" s="74">
        <f ca="1">+R34*Recycling!M33</f>
        <v>0</v>
      </c>
      <c r="S89" s="74">
        <f ca="1">+S34*Recycling!N33</f>
        <v>0</v>
      </c>
      <c r="T89" s="74">
        <f ca="1">+T34*Recycling!O33</f>
        <v>0</v>
      </c>
      <c r="U89" s="137">
        <f t="shared" ref="U89:U90" ca="1" si="35">SUM(P89:T89)</f>
        <v>0</v>
      </c>
      <c r="V89" s="74">
        <f ca="1">+V34*Recycling!P33</f>
        <v>0</v>
      </c>
      <c r="W89" s="74">
        <f ca="1">+W34*Recycling!Q33</f>
        <v>0</v>
      </c>
      <c r="X89" s="74">
        <f ca="1">+X34*Recycling!R33</f>
        <v>0</v>
      </c>
    </row>
    <row r="90" spans="2:24" s="1" customFormat="1" x14ac:dyDescent="0.5">
      <c r="B90" s="47" t="s">
        <v>7</v>
      </c>
      <c r="C90" s="48"/>
      <c r="D90" s="48"/>
      <c r="E90" s="48"/>
      <c r="F90" s="48"/>
      <c r="G90" s="293"/>
      <c r="H90" s="101">
        <f ca="1">+SUM(O90,U90:X90)</f>
        <v>586116.79445696529</v>
      </c>
      <c r="I90" s="307">
        <f t="shared" ca="1" si="34"/>
        <v>0.11884988310943763</v>
      </c>
      <c r="J90" s="112"/>
      <c r="K90" s="49">
        <f ca="1">+K35*Recycling!G34</f>
        <v>165248.14155498869</v>
      </c>
      <c r="L90" s="49">
        <f ca="1">+L35*Recycling!H34</f>
        <v>0</v>
      </c>
      <c r="M90" s="49">
        <f ca="1">+M35*Recycling!I34</f>
        <v>0</v>
      </c>
      <c r="N90" s="49">
        <f ca="1">+N35*Recycling!J34</f>
        <v>0</v>
      </c>
      <c r="O90" s="144">
        <f ca="1">SUM(K90:N90)</f>
        <v>165248.14155498869</v>
      </c>
      <c r="P90" s="143">
        <f ca="1">+P35*Recycling!K34</f>
        <v>185460.39561671656</v>
      </c>
      <c r="Q90" s="49">
        <f ca="1">+Q35*Recycling!L34</f>
        <v>228996.51420300268</v>
      </c>
      <c r="R90" s="49">
        <f ca="1">+R35*Recycling!M34</f>
        <v>6411.7430822573133</v>
      </c>
      <c r="S90" s="49">
        <f ca="1">+S35*Recycling!N34</f>
        <v>0</v>
      </c>
      <c r="T90" s="49">
        <f ca="1">+T35*Recycling!O34</f>
        <v>0</v>
      </c>
      <c r="U90" s="144">
        <f t="shared" ca="1" si="35"/>
        <v>420868.6529019766</v>
      </c>
      <c r="V90" s="49">
        <f ca="1">+V35*Recycling!P34</f>
        <v>0</v>
      </c>
      <c r="W90" s="49">
        <f ca="1">+W35*Recycling!Q34</f>
        <v>0</v>
      </c>
      <c r="X90" s="49">
        <f ca="1">+X35*Recycling!R34</f>
        <v>0</v>
      </c>
    </row>
    <row r="91" spans="2:24" s="43" customFormat="1" x14ac:dyDescent="0.5">
      <c r="B91" s="44" t="s">
        <v>57</v>
      </c>
      <c r="G91" s="294"/>
      <c r="H91" s="102">
        <f ca="1">SUM(H89:H90)</f>
        <v>671449.26202998729</v>
      </c>
      <c r="I91" s="308">
        <f t="shared" ca="1" si="34"/>
        <v>0.13615318151754727</v>
      </c>
      <c r="J91" s="113"/>
      <c r="K91" s="152">
        <f t="shared" ref="K91:R91" ca="1" si="36">SUM(K89:K90)</f>
        <v>250580.60912801075</v>
      </c>
      <c r="L91" s="152">
        <f t="shared" ca="1" si="36"/>
        <v>0</v>
      </c>
      <c r="M91" s="152">
        <f ca="1">SUM(M89:M90)</f>
        <v>0</v>
      </c>
      <c r="N91" s="152">
        <f ca="1">SUM(N89:N90)</f>
        <v>0</v>
      </c>
      <c r="O91" s="137">
        <f t="shared" ca="1" si="36"/>
        <v>250580.60912801075</v>
      </c>
      <c r="P91" s="151">
        <f t="shared" ca="1" si="36"/>
        <v>185460.39561671656</v>
      </c>
      <c r="Q91" s="152">
        <f t="shared" ca="1" si="36"/>
        <v>228996.51420300268</v>
      </c>
      <c r="R91" s="152">
        <f t="shared" ca="1" si="36"/>
        <v>6411.7430822573133</v>
      </c>
      <c r="S91" s="152">
        <f ca="1">SUM(S89:S90)</f>
        <v>0</v>
      </c>
      <c r="T91" s="152">
        <f t="shared" ref="T91:X91" ca="1" si="37">SUM(T89:T90)</f>
        <v>0</v>
      </c>
      <c r="U91" s="137">
        <f t="shared" ca="1" si="37"/>
        <v>420868.6529019766</v>
      </c>
      <c r="V91" s="152">
        <f t="shared" ca="1" si="37"/>
        <v>0</v>
      </c>
      <c r="W91" s="152">
        <f t="shared" ca="1" si="37"/>
        <v>0</v>
      </c>
      <c r="X91" s="152">
        <f t="shared" ca="1" si="37"/>
        <v>0</v>
      </c>
    </row>
    <row r="92" spans="2:24" s="1" customFormat="1" ht="7.1" customHeight="1" x14ac:dyDescent="0.5">
      <c r="B92" s="3"/>
      <c r="G92" s="298"/>
      <c r="H92" s="100"/>
      <c r="I92" s="100"/>
      <c r="J92" s="112"/>
      <c r="K92" s="74"/>
      <c r="L92" s="74"/>
      <c r="M92" s="74"/>
      <c r="N92" s="74"/>
      <c r="O92" s="137"/>
      <c r="P92" s="136"/>
      <c r="Q92" s="74"/>
      <c r="R92" s="74"/>
      <c r="S92" s="74"/>
      <c r="T92" s="74"/>
      <c r="U92" s="137"/>
      <c r="V92" s="74"/>
      <c r="W92" s="74"/>
      <c r="X92" s="74"/>
    </row>
    <row r="93" spans="2:24" s="1" customFormat="1" x14ac:dyDescent="0.5">
      <c r="B93" s="7" t="s">
        <v>24</v>
      </c>
      <c r="C93" s="9"/>
      <c r="D93" s="9"/>
      <c r="E93" s="9"/>
      <c r="F93" s="9"/>
      <c r="G93" s="294"/>
      <c r="H93" s="107"/>
      <c r="I93" s="107"/>
      <c r="J93" s="112"/>
      <c r="K93" s="140"/>
      <c r="L93" s="140"/>
      <c r="M93" s="140"/>
      <c r="N93" s="140"/>
      <c r="O93" s="141"/>
      <c r="P93" s="139"/>
      <c r="Q93" s="140"/>
      <c r="R93" s="140"/>
      <c r="S93" s="140"/>
      <c r="T93" s="140"/>
      <c r="U93" s="141"/>
      <c r="V93" s="140"/>
      <c r="W93" s="140"/>
      <c r="X93" s="140"/>
    </row>
    <row r="94" spans="2:24" s="1" customFormat="1" x14ac:dyDescent="0.5">
      <c r="B94" s="2" t="s">
        <v>12</v>
      </c>
      <c r="G94" s="296"/>
      <c r="H94" s="100"/>
      <c r="I94" s="100"/>
      <c r="J94" s="112"/>
      <c r="K94" s="74"/>
      <c r="L94" s="74"/>
      <c r="M94" s="74"/>
      <c r="N94" s="74"/>
      <c r="O94" s="137"/>
      <c r="P94" s="136"/>
      <c r="Q94" s="74"/>
      <c r="R94" s="74"/>
      <c r="S94" s="74"/>
      <c r="T94" s="74"/>
      <c r="U94" s="137"/>
      <c r="V94" s="74"/>
      <c r="W94" s="74"/>
      <c r="X94" s="74"/>
    </row>
    <row r="95" spans="2:24" s="1" customFormat="1" x14ac:dyDescent="0.5">
      <c r="B95" s="3"/>
      <c r="C95" s="2" t="s">
        <v>13</v>
      </c>
      <c r="D95" s="2"/>
      <c r="F95" s="2"/>
      <c r="G95" s="293"/>
      <c r="H95" s="99">
        <f ca="1">+SUM(O95,U95:X95)</f>
        <v>116023.26562759528</v>
      </c>
      <c r="I95" s="305">
        <f ca="1">H95/$H$60</f>
        <v>2.3526627607712052E-2</v>
      </c>
      <c r="J95" s="112"/>
      <c r="K95" s="74">
        <f ca="1">+K40*Recycling!G38</f>
        <v>16610.008617112278</v>
      </c>
      <c r="L95" s="74">
        <f ca="1">+L40*Recycling!H38</f>
        <v>0</v>
      </c>
      <c r="M95" s="74">
        <f ca="1">+M40*Recycling!I38</f>
        <v>49402.866792616725</v>
      </c>
      <c r="N95" s="74">
        <f ca="1">+N40*Recycling!J38</f>
        <v>50010.390217866261</v>
      </c>
      <c r="O95" s="137">
        <f ca="1">SUM(K95:N95)</f>
        <v>116023.26562759528</v>
      </c>
      <c r="P95" s="136">
        <f ca="1">+P40*Recycling!K38</f>
        <v>0</v>
      </c>
      <c r="Q95" s="74">
        <f ca="1">+Q40*Recycling!L38</f>
        <v>0</v>
      </c>
      <c r="R95" s="74">
        <f ca="1">+R40*Recycling!M38</f>
        <v>0</v>
      </c>
      <c r="S95" s="74">
        <f ca="1">+S40*Recycling!N38</f>
        <v>0</v>
      </c>
      <c r="T95" s="74">
        <f ca="1">+T40*Recycling!O38</f>
        <v>0</v>
      </c>
      <c r="U95" s="137">
        <f ca="1">SUM(P95:T95)</f>
        <v>0</v>
      </c>
      <c r="V95" s="74">
        <f ca="1">+V40*Recycling!P38</f>
        <v>0</v>
      </c>
      <c r="W95" s="74">
        <f ca="1">+W40*Recycling!Q38</f>
        <v>0</v>
      </c>
      <c r="X95" s="74">
        <f ca="1">+X40*Recycling!R38</f>
        <v>0</v>
      </c>
    </row>
    <row r="96" spans="2:24" s="1" customFormat="1" x14ac:dyDescent="0.5">
      <c r="B96" s="1" t="s">
        <v>14</v>
      </c>
      <c r="G96" s="295"/>
      <c r="H96" s="100"/>
      <c r="I96" s="100"/>
      <c r="J96" s="112"/>
      <c r="K96" s="74"/>
      <c r="L96" s="74"/>
      <c r="M96" s="74"/>
      <c r="N96" s="74"/>
      <c r="O96" s="137"/>
      <c r="P96" s="136"/>
      <c r="Q96" s="74"/>
      <c r="R96" s="74"/>
      <c r="S96" s="74"/>
      <c r="T96" s="74"/>
      <c r="U96" s="137"/>
      <c r="V96" s="74"/>
      <c r="W96" s="74"/>
      <c r="X96" s="74"/>
    </row>
    <row r="97" spans="2:24" s="1" customFormat="1" x14ac:dyDescent="0.5">
      <c r="C97" s="2" t="s">
        <v>15</v>
      </c>
      <c r="G97" s="293"/>
      <c r="H97" s="99">
        <f ca="1">+SUM(O97,U97:X97)</f>
        <v>118516.14086069926</v>
      </c>
      <c r="I97" s="305">
        <f ca="1">H97/$H$60</f>
        <v>2.403212059624742E-2</v>
      </c>
      <c r="J97" s="112"/>
      <c r="K97" s="74">
        <f ca="1">+K42*Recycling!G40</f>
        <v>0</v>
      </c>
      <c r="L97" s="74">
        <f ca="1">+L42*Recycling!H40</f>
        <v>0</v>
      </c>
      <c r="M97" s="74">
        <f ca="1">+M42*Recycling!I40</f>
        <v>0</v>
      </c>
      <c r="N97" s="74">
        <f ca="1">+N42*Recycling!J40</f>
        <v>0</v>
      </c>
      <c r="O97" s="137">
        <f ca="1">SUM(K97:N97)</f>
        <v>0</v>
      </c>
      <c r="P97" s="136">
        <f ca="1">+P42*Recycling!K40</f>
        <v>0</v>
      </c>
      <c r="Q97" s="74">
        <f ca="1">+Q42*Recycling!L40</f>
        <v>45792.982121836678</v>
      </c>
      <c r="R97" s="74">
        <f ca="1">+R42*Recycling!M40</f>
        <v>72723.158738862578</v>
      </c>
      <c r="S97" s="74">
        <f ca="1">+S42*Recycling!N40</f>
        <v>0</v>
      </c>
      <c r="T97" s="74">
        <f ca="1">+T42*Recycling!O40</f>
        <v>0</v>
      </c>
      <c r="U97" s="137">
        <f t="shared" ref="U97:U100" ca="1" si="38">SUM(P97:T97)</f>
        <v>118516.14086069926</v>
      </c>
      <c r="V97" s="74">
        <f ca="1">+V42*Recycling!P40</f>
        <v>0</v>
      </c>
      <c r="W97" s="74">
        <f ca="1">+W42*Recycling!Q40</f>
        <v>0</v>
      </c>
      <c r="X97" s="74">
        <f ca="1">+X42*Recycling!R40</f>
        <v>0</v>
      </c>
    </row>
    <row r="98" spans="2:24" s="1" customFormat="1" x14ac:dyDescent="0.5">
      <c r="C98" s="2" t="s">
        <v>16</v>
      </c>
      <c r="G98" s="293"/>
      <c r="H98" s="99">
        <f ca="1">+SUM(O98,U98:X98)</f>
        <v>0</v>
      </c>
      <c r="I98" s="305">
        <f t="shared" ref="I98:I101" ca="1" si="39">H98/$H$60</f>
        <v>0</v>
      </c>
      <c r="J98" s="112"/>
      <c r="K98" s="74">
        <f ca="1">+K43*Recycling!G41</f>
        <v>0</v>
      </c>
      <c r="L98" s="74">
        <f ca="1">+L43*Recycling!H41</f>
        <v>0</v>
      </c>
      <c r="M98" s="74">
        <f ca="1">+M43*Recycling!I41</f>
        <v>0</v>
      </c>
      <c r="N98" s="74">
        <f ca="1">+N43*Recycling!J41</f>
        <v>0</v>
      </c>
      <c r="O98" s="137">
        <f ca="1">SUM(K98:N98)</f>
        <v>0</v>
      </c>
      <c r="P98" s="136">
        <f ca="1">+P43*Recycling!K41</f>
        <v>0</v>
      </c>
      <c r="Q98" s="74">
        <f ca="1">+Q43*Recycling!L41</f>
        <v>0</v>
      </c>
      <c r="R98" s="74">
        <f ca="1">+R43*Recycling!M41</f>
        <v>0</v>
      </c>
      <c r="S98" s="74">
        <f ca="1">+S43*Recycling!N41</f>
        <v>0</v>
      </c>
      <c r="T98" s="74">
        <f ca="1">+T43*Recycling!O41</f>
        <v>0</v>
      </c>
      <c r="U98" s="137">
        <f t="shared" ca="1" si="38"/>
        <v>0</v>
      </c>
      <c r="V98" s="74">
        <f ca="1">+V43*Recycling!P41</f>
        <v>0</v>
      </c>
      <c r="W98" s="74">
        <f ca="1">+W43*Recycling!Q41</f>
        <v>0</v>
      </c>
      <c r="X98" s="74">
        <f ca="1">+X43*Recycling!R41</f>
        <v>0</v>
      </c>
    </row>
    <row r="99" spans="2:24" s="1" customFormat="1" x14ac:dyDescent="0.5">
      <c r="C99" s="2" t="s">
        <v>17</v>
      </c>
      <c r="G99" s="293"/>
      <c r="H99" s="99">
        <f ca="1">+SUM(O99,U99:X99)</f>
        <v>0</v>
      </c>
      <c r="I99" s="305">
        <f t="shared" ca="1" si="39"/>
        <v>0</v>
      </c>
      <c r="J99" s="112"/>
      <c r="K99" s="74">
        <f ca="1">+K44*Recycling!G42</f>
        <v>0</v>
      </c>
      <c r="L99" s="74">
        <f ca="1">+L44*Recycling!H42</f>
        <v>0</v>
      </c>
      <c r="M99" s="74">
        <f ca="1">+M44*Recycling!I42</f>
        <v>0</v>
      </c>
      <c r="N99" s="74">
        <f ca="1">+N44*Recycling!J42</f>
        <v>0</v>
      </c>
      <c r="O99" s="137">
        <f ca="1">SUM(K99:N99)</f>
        <v>0</v>
      </c>
      <c r="P99" s="136">
        <f ca="1">+P44*Recycling!K42</f>
        <v>0</v>
      </c>
      <c r="Q99" s="74">
        <f ca="1">+Q44*Recycling!L42</f>
        <v>0</v>
      </c>
      <c r="R99" s="74">
        <f ca="1">+R44*Recycling!M42</f>
        <v>0</v>
      </c>
      <c r="S99" s="74">
        <f ca="1">+S44*Recycling!N42</f>
        <v>0</v>
      </c>
      <c r="T99" s="74">
        <f ca="1">+T44*Recycling!O42</f>
        <v>0</v>
      </c>
      <c r="U99" s="137">
        <f t="shared" ca="1" si="38"/>
        <v>0</v>
      </c>
      <c r="V99" s="74">
        <f ca="1">+V44*Recycling!P42</f>
        <v>0</v>
      </c>
      <c r="W99" s="74">
        <f ca="1">+W44*Recycling!Q42</f>
        <v>0</v>
      </c>
      <c r="X99" s="74">
        <f ca="1">+X44*Recycling!R42</f>
        <v>0</v>
      </c>
    </row>
    <row r="100" spans="2:24" s="1" customFormat="1" x14ac:dyDescent="0.5">
      <c r="B100" s="98"/>
      <c r="C100" s="47" t="s">
        <v>18</v>
      </c>
      <c r="D100" s="48"/>
      <c r="E100" s="48"/>
      <c r="F100" s="48"/>
      <c r="G100" s="293"/>
      <c r="H100" s="101">
        <f ca="1">+SUM(O100,U100:X100)</f>
        <v>0</v>
      </c>
      <c r="I100" s="307">
        <f t="shared" ca="1" si="39"/>
        <v>0</v>
      </c>
      <c r="J100" s="112"/>
      <c r="K100" s="49">
        <f ca="1">+K45*Recycling!G43</f>
        <v>0</v>
      </c>
      <c r="L100" s="49">
        <f ca="1">+L45*Recycling!H43</f>
        <v>0</v>
      </c>
      <c r="M100" s="49">
        <f ca="1">+M45*Recycling!I43</f>
        <v>0</v>
      </c>
      <c r="N100" s="49">
        <f ca="1">+N45*Recycling!J43</f>
        <v>0</v>
      </c>
      <c r="O100" s="144">
        <f ca="1">SUM(K100:N100)</f>
        <v>0</v>
      </c>
      <c r="P100" s="143">
        <f ca="1">+P45*Recycling!K43</f>
        <v>0</v>
      </c>
      <c r="Q100" s="49">
        <f ca="1">+Q45*Recycling!L43</f>
        <v>0</v>
      </c>
      <c r="R100" s="49">
        <f ca="1">+R45*Recycling!M43</f>
        <v>0</v>
      </c>
      <c r="S100" s="49">
        <f ca="1">+S45*Recycling!N43</f>
        <v>0</v>
      </c>
      <c r="T100" s="49">
        <f ca="1">+T45*Recycling!O43</f>
        <v>0</v>
      </c>
      <c r="U100" s="144">
        <f t="shared" ca="1" si="38"/>
        <v>0</v>
      </c>
      <c r="V100" s="49">
        <f ca="1">+V45*Recycling!P43</f>
        <v>0</v>
      </c>
      <c r="W100" s="49">
        <f ca="1">+W45*Recycling!Q43</f>
        <v>0</v>
      </c>
      <c r="X100" s="49">
        <f ca="1">+X45*Recycling!R43</f>
        <v>0</v>
      </c>
    </row>
    <row r="101" spans="2:24" s="43" customFormat="1" x14ac:dyDescent="0.5">
      <c r="B101" s="3" t="s">
        <v>37</v>
      </c>
      <c r="C101" s="44"/>
      <c r="G101" s="294"/>
      <c r="H101" s="102">
        <f ca="1">+SUM(H95,H97:H100)</f>
        <v>234539.40648829454</v>
      </c>
      <c r="I101" s="308">
        <f t="shared" ca="1" si="39"/>
        <v>4.7558748203959472E-2</v>
      </c>
      <c r="J101" s="113"/>
      <c r="K101" s="152">
        <f ca="1">+SUM(K95,K97:K100)</f>
        <v>16610.008617112278</v>
      </c>
      <c r="L101" s="152">
        <f ca="1">+SUM(L95,L97:L100)</f>
        <v>0</v>
      </c>
      <c r="M101" s="152">
        <f ca="1">+SUM(M95,M97:M100)</f>
        <v>49402.866792616725</v>
      </c>
      <c r="N101" s="152">
        <f ca="1">+SUM(N95,N97:N100)</f>
        <v>50010.390217866261</v>
      </c>
      <c r="O101" s="137">
        <f ca="1">+SUM(O95,O97:O100)</f>
        <v>116023.26562759528</v>
      </c>
      <c r="P101" s="152">
        <f t="shared" ref="P101:R101" ca="1" si="40">+SUM(P95,P97:P100)</f>
        <v>0</v>
      </c>
      <c r="Q101" s="152">
        <f t="shared" ca="1" si="40"/>
        <v>45792.982121836678</v>
      </c>
      <c r="R101" s="152">
        <f t="shared" ca="1" si="40"/>
        <v>72723.158738862578</v>
      </c>
      <c r="S101" s="152">
        <f ca="1">+SUM(S95,S97:S100)</f>
        <v>0</v>
      </c>
      <c r="T101" s="152">
        <f t="shared" ref="T101" ca="1" si="41">+SUM(T95,T97:T100)</f>
        <v>0</v>
      </c>
      <c r="U101" s="137">
        <f ca="1">+SUM(U95,U97:U100)</f>
        <v>118516.14086069926</v>
      </c>
      <c r="V101" s="152">
        <f t="shared" ref="V101:X101" ca="1" si="42">+SUM(V95,V97:V100)</f>
        <v>0</v>
      </c>
      <c r="W101" s="152">
        <f t="shared" ca="1" si="42"/>
        <v>0</v>
      </c>
      <c r="X101" s="152">
        <f t="shared" ca="1" si="42"/>
        <v>0</v>
      </c>
    </row>
    <row r="102" spans="2:24" s="1" customFormat="1" ht="7.1" customHeight="1" x14ac:dyDescent="0.5">
      <c r="B102" s="3"/>
      <c r="G102" s="295"/>
      <c r="H102" s="100"/>
      <c r="I102" s="100"/>
      <c r="J102" s="112"/>
      <c r="K102" s="74"/>
      <c r="L102" s="74"/>
      <c r="M102" s="74"/>
      <c r="N102" s="74"/>
      <c r="O102" s="137"/>
      <c r="P102" s="136"/>
      <c r="Q102" s="74"/>
      <c r="R102" s="74"/>
      <c r="S102" s="74"/>
      <c r="T102" s="74"/>
      <c r="U102" s="137"/>
      <c r="V102" s="74"/>
      <c r="W102" s="74"/>
      <c r="X102" s="74"/>
    </row>
    <row r="103" spans="2:24" s="1" customFormat="1" x14ac:dyDescent="0.5">
      <c r="B103" s="10" t="s">
        <v>19</v>
      </c>
      <c r="C103" s="9"/>
      <c r="D103" s="9"/>
      <c r="E103" s="11"/>
      <c r="F103" s="11"/>
      <c r="G103" s="294"/>
      <c r="H103" s="105"/>
      <c r="I103" s="105"/>
      <c r="J103" s="112"/>
      <c r="K103" s="140"/>
      <c r="L103" s="140"/>
      <c r="M103" s="140"/>
      <c r="N103" s="140"/>
      <c r="O103" s="141"/>
      <c r="P103" s="139"/>
      <c r="Q103" s="140"/>
      <c r="R103" s="140"/>
      <c r="S103" s="140"/>
      <c r="T103" s="140"/>
      <c r="U103" s="141"/>
      <c r="V103" s="140"/>
      <c r="W103" s="140"/>
      <c r="X103" s="140"/>
    </row>
    <row r="104" spans="2:24" s="1" customFormat="1" x14ac:dyDescent="0.5">
      <c r="B104" s="2" t="s">
        <v>19</v>
      </c>
      <c r="E104" s="2"/>
      <c r="F104" s="2"/>
      <c r="G104" s="293"/>
      <c r="H104" s="99">
        <f ca="1">+SUM(O104,U104:X104)</f>
        <v>0</v>
      </c>
      <c r="I104" s="305">
        <f ca="1">H104/$H$60</f>
        <v>0</v>
      </c>
      <c r="J104" s="112"/>
      <c r="K104" s="74">
        <f ca="1">+K49*Recycling!G46</f>
        <v>0</v>
      </c>
      <c r="L104" s="74">
        <f ca="1">+L49*Recycling!H46</f>
        <v>0</v>
      </c>
      <c r="M104" s="74">
        <f ca="1">+M49*Recycling!I46</f>
        <v>0</v>
      </c>
      <c r="N104" s="74">
        <f ca="1">+N49*Recycling!J46</f>
        <v>0</v>
      </c>
      <c r="O104" s="137">
        <f ca="1">SUM(K104:N104)</f>
        <v>0</v>
      </c>
      <c r="P104" s="136">
        <f ca="1">+P49*Recycling!K46</f>
        <v>0</v>
      </c>
      <c r="Q104" s="74">
        <f ca="1">+Q49*Recycling!L46</f>
        <v>0</v>
      </c>
      <c r="R104" s="74">
        <f ca="1">+R49*Recycling!M46</f>
        <v>0</v>
      </c>
      <c r="S104" s="74">
        <f ca="1">+S49*Recycling!N46</f>
        <v>0</v>
      </c>
      <c r="T104" s="74">
        <f ca="1">+T49*Recycling!O46</f>
        <v>0</v>
      </c>
      <c r="U104" s="137">
        <f ca="1">SUM(P104:T104)</f>
        <v>0</v>
      </c>
      <c r="V104" s="74">
        <f ca="1">+V49*Recycling!P46</f>
        <v>0</v>
      </c>
      <c r="W104" s="74">
        <f ca="1">+W49*Recycling!Q46</f>
        <v>0</v>
      </c>
      <c r="X104" s="74">
        <f ca="1">+X49*Recycling!R46</f>
        <v>0</v>
      </c>
    </row>
    <row r="105" spans="2:24" s="1" customFormat="1" ht="7.1" customHeight="1" x14ac:dyDescent="0.5">
      <c r="B105" s="2"/>
      <c r="E105" s="2"/>
      <c r="F105" s="2"/>
      <c r="G105" s="295"/>
      <c r="H105" s="100"/>
      <c r="I105" s="100"/>
      <c r="J105" s="112"/>
      <c r="K105" s="74"/>
      <c r="L105" s="74"/>
      <c r="M105" s="74"/>
      <c r="N105" s="74"/>
      <c r="O105" s="137"/>
      <c r="P105" s="136"/>
      <c r="Q105" s="74"/>
      <c r="R105" s="74"/>
      <c r="S105" s="74"/>
      <c r="T105" s="74"/>
      <c r="U105" s="137"/>
      <c r="V105" s="74"/>
      <c r="W105" s="74"/>
      <c r="X105" s="74"/>
    </row>
    <row r="106" spans="2:24" s="1" customFormat="1" x14ac:dyDescent="0.5">
      <c r="B106" s="10" t="s">
        <v>25</v>
      </c>
      <c r="C106" s="9"/>
      <c r="D106" s="9"/>
      <c r="E106" s="9"/>
      <c r="F106" s="9"/>
      <c r="G106" s="294"/>
      <c r="H106" s="105"/>
      <c r="I106" s="105"/>
      <c r="J106" s="112"/>
      <c r="K106" s="140"/>
      <c r="L106" s="140"/>
      <c r="M106" s="140"/>
      <c r="N106" s="140"/>
      <c r="O106" s="141"/>
      <c r="P106" s="139"/>
      <c r="Q106" s="140"/>
      <c r="R106" s="140"/>
      <c r="S106" s="140"/>
      <c r="T106" s="140"/>
      <c r="U106" s="141"/>
      <c r="V106" s="140"/>
      <c r="W106" s="140"/>
      <c r="X106" s="140"/>
    </row>
    <row r="107" spans="2:24" s="1" customFormat="1" x14ac:dyDescent="0.5">
      <c r="B107" s="2" t="s">
        <v>25</v>
      </c>
      <c r="G107" s="293"/>
      <c r="H107" s="99">
        <f ca="1">+SUM(O107,U107:X107)</f>
        <v>40167.268845413237</v>
      </c>
      <c r="I107" s="305">
        <f ca="1">H107/$H$60</f>
        <v>8.1449213744603476E-3</v>
      </c>
      <c r="J107" s="112"/>
      <c r="K107" s="74">
        <f ca="1">+K52*Recycling!G49</f>
        <v>34366.202185367489</v>
      </c>
      <c r="L107" s="74">
        <f ca="1">+L52*Recycling!H49</f>
        <v>0</v>
      </c>
      <c r="M107" s="74">
        <f ca="1">+M52*Recycling!I49</f>
        <v>0</v>
      </c>
      <c r="N107" s="74">
        <f ca="1">+N52*Recycling!J49</f>
        <v>0</v>
      </c>
      <c r="O107" s="137">
        <f ca="1">SUM(K107:N107)</f>
        <v>34366.202185367489</v>
      </c>
      <c r="P107" s="136">
        <f ca="1">+P52*Recycling!K49</f>
        <v>0</v>
      </c>
      <c r="Q107" s="74">
        <f ca="1">+Q52*Recycling!L49</f>
        <v>0</v>
      </c>
      <c r="R107" s="74">
        <f ca="1">+R52*Recycling!M49</f>
        <v>0</v>
      </c>
      <c r="S107" s="74">
        <f ca="1">+S52*Recycling!N49</f>
        <v>0</v>
      </c>
      <c r="T107" s="74">
        <f ca="1">+T52*Recycling!O49</f>
        <v>0</v>
      </c>
      <c r="U107" s="137">
        <f ca="1">SUM(P107:T107)</f>
        <v>0</v>
      </c>
      <c r="V107" s="74">
        <f ca="1">+V52*Recycling!P49</f>
        <v>0</v>
      </c>
      <c r="W107" s="74">
        <f ca="1">+W52*Recycling!Q49</f>
        <v>5801.0666600457462</v>
      </c>
      <c r="X107" s="74">
        <f ca="1">+X52*Recycling!R49</f>
        <v>0</v>
      </c>
    </row>
    <row r="108" spans="2:24" s="1" customFormat="1" ht="7.1" customHeight="1" x14ac:dyDescent="0.5">
      <c r="B108" s="2"/>
      <c r="G108" s="295"/>
      <c r="H108" s="100"/>
      <c r="I108" s="100"/>
      <c r="J108" s="112"/>
      <c r="K108" s="74"/>
      <c r="L108" s="74"/>
      <c r="M108" s="74"/>
      <c r="N108" s="74"/>
      <c r="O108" s="137"/>
      <c r="P108" s="136"/>
      <c r="Q108" s="74"/>
      <c r="R108" s="74"/>
      <c r="S108" s="74"/>
      <c r="T108" s="74"/>
      <c r="U108" s="137"/>
      <c r="V108" s="74"/>
      <c r="W108" s="74"/>
      <c r="X108" s="74"/>
    </row>
    <row r="109" spans="2:24" s="1" customFormat="1" x14ac:dyDescent="0.5">
      <c r="B109" s="10" t="s">
        <v>4</v>
      </c>
      <c r="C109" s="9"/>
      <c r="D109" s="9"/>
      <c r="E109" s="9"/>
      <c r="F109" s="9"/>
      <c r="G109" s="294"/>
      <c r="H109" s="105"/>
      <c r="I109" s="105"/>
      <c r="J109" s="112"/>
      <c r="K109" s="140"/>
      <c r="L109" s="140"/>
      <c r="M109" s="140"/>
      <c r="N109" s="140"/>
      <c r="O109" s="141"/>
      <c r="P109" s="139"/>
      <c r="Q109" s="140"/>
      <c r="R109" s="140"/>
      <c r="S109" s="140"/>
      <c r="T109" s="140"/>
      <c r="U109" s="141"/>
      <c r="V109" s="140"/>
      <c r="W109" s="140"/>
      <c r="X109" s="140"/>
    </row>
    <row r="110" spans="2:24" s="1" customFormat="1" x14ac:dyDescent="0.5">
      <c r="B110" s="2" t="s">
        <v>20</v>
      </c>
      <c r="E110" s="2"/>
      <c r="F110" s="2"/>
      <c r="G110" s="293"/>
      <c r="H110" s="99">
        <f ca="1">+SUM(O110,U110:X110)</f>
        <v>13486.56330926304</v>
      </c>
      <c r="I110" s="305">
        <f ca="1">H110/$H$60</f>
        <v>2.734739028147113E-3</v>
      </c>
      <c r="J110" s="112"/>
      <c r="K110" s="74">
        <f ca="1">+K55*Recycling!G52</f>
        <v>9965.2874797207733</v>
      </c>
      <c r="L110" s="74">
        <f ca="1">+L55*Recycling!H52</f>
        <v>2936.0667635377567</v>
      </c>
      <c r="M110" s="74">
        <f ca="1">+M55*Recycling!I52</f>
        <v>0</v>
      </c>
      <c r="N110" s="74">
        <f ca="1">+N55*Recycling!J52</f>
        <v>585.20906600450849</v>
      </c>
      <c r="O110" s="137">
        <f ca="1">SUM(K110:N110)</f>
        <v>13486.56330926304</v>
      </c>
      <c r="P110" s="136">
        <f ca="1">+P55*Recycling!K52</f>
        <v>0</v>
      </c>
      <c r="Q110" s="74">
        <f ca="1">+Q55*Recycling!L52</f>
        <v>0</v>
      </c>
      <c r="R110" s="74">
        <f ca="1">+R55*Recycling!M52</f>
        <v>0</v>
      </c>
      <c r="S110" s="74">
        <f ca="1">+S55*Recycling!N52</f>
        <v>0</v>
      </c>
      <c r="T110" s="74">
        <f ca="1">+T55*Recycling!O52</f>
        <v>0</v>
      </c>
      <c r="U110" s="137">
        <f t="shared" ref="U110:U112" ca="1" si="43">SUM(P110:T110)</f>
        <v>0</v>
      </c>
      <c r="V110" s="74">
        <f ca="1">+V55*Recycling!P52</f>
        <v>0</v>
      </c>
      <c r="W110" s="74">
        <f ca="1">+W55*Recycling!Q52</f>
        <v>0</v>
      </c>
      <c r="X110" s="74">
        <f ca="1">+X55*Recycling!R52</f>
        <v>0</v>
      </c>
    </row>
    <row r="111" spans="2:24" s="1" customFormat="1" x14ac:dyDescent="0.5">
      <c r="B111" s="2" t="s">
        <v>11</v>
      </c>
      <c r="E111" s="2"/>
      <c r="F111" s="2"/>
      <c r="G111" s="293"/>
      <c r="H111" s="99">
        <f ca="1">+SUM(O111,U111:X111)</f>
        <v>56459.879471608154</v>
      </c>
      <c r="I111" s="305">
        <f ca="1">H111/$H$60</f>
        <v>1.1448656887217476E-2</v>
      </c>
      <c r="J111" s="112"/>
      <c r="K111" s="74">
        <f ca="1">+K56*Recycling!G53</f>
        <v>1235.830495751622</v>
      </c>
      <c r="L111" s="74">
        <f ca="1">+L56*Recycling!H53</f>
        <v>0</v>
      </c>
      <c r="M111" s="74">
        <f ca="1">+M56*Recycling!I53</f>
        <v>0</v>
      </c>
      <c r="N111" s="74">
        <f ca="1">+N56*Recycling!J53</f>
        <v>0</v>
      </c>
      <c r="O111" s="137">
        <f ca="1">SUM(K111:N111)</f>
        <v>1235.830495751622</v>
      </c>
      <c r="P111" s="136">
        <f ca="1">+P56*Recycling!K53</f>
        <v>0</v>
      </c>
      <c r="Q111" s="74">
        <f ca="1">+Q56*Recycling!L53</f>
        <v>30603.261715650948</v>
      </c>
      <c r="R111" s="74">
        <f ca="1">+R56*Recycling!M53</f>
        <v>24620.787260205583</v>
      </c>
      <c r="S111" s="74">
        <f ca="1">+S56*Recycling!N53</f>
        <v>0</v>
      </c>
      <c r="T111" s="74">
        <f ca="1">+T56*Recycling!O53</f>
        <v>0</v>
      </c>
      <c r="U111" s="137">
        <f t="shared" ca="1" si="43"/>
        <v>55224.048975856531</v>
      </c>
      <c r="V111" s="74">
        <f ca="1">+V56*Recycling!P53</f>
        <v>0</v>
      </c>
      <c r="W111" s="74">
        <f ca="1">+W56*Recycling!Q53</f>
        <v>0</v>
      </c>
      <c r="X111" s="74">
        <f ca="1">+X56*Recycling!R53</f>
        <v>0</v>
      </c>
    </row>
    <row r="112" spans="2:24" s="1" customFormat="1" x14ac:dyDescent="0.5">
      <c r="B112" s="47" t="s">
        <v>55</v>
      </c>
      <c r="C112" s="48"/>
      <c r="D112" s="48"/>
      <c r="E112" s="47"/>
      <c r="F112" s="47"/>
      <c r="G112" s="293"/>
      <c r="H112" s="101">
        <f ca="1">+SUM(O112,U112:X112)</f>
        <v>18721.987629837357</v>
      </c>
      <c r="I112" s="307">
        <f t="shared" ref="I112:I115" ca="1" si="44">H112/$H$60</f>
        <v>3.7963526423842849E-3</v>
      </c>
      <c r="J112" s="112"/>
      <c r="K112" s="49">
        <f ca="1">+K57*Recycling!G54</f>
        <v>0</v>
      </c>
      <c r="L112" s="49">
        <f ca="1">+L57*Recycling!H54</f>
        <v>18721.987629837357</v>
      </c>
      <c r="M112" s="49">
        <f ca="1">+M57*Recycling!I54</f>
        <v>0</v>
      </c>
      <c r="N112" s="49">
        <f ca="1">+N57*Recycling!J54</f>
        <v>0</v>
      </c>
      <c r="O112" s="144">
        <f ca="1">SUM(K112:N112)</f>
        <v>18721.987629837357</v>
      </c>
      <c r="P112" s="143">
        <f ca="1">+P57*Recycling!K54</f>
        <v>0</v>
      </c>
      <c r="Q112" s="49">
        <f ca="1">+Q57*Recycling!L54</f>
        <v>0</v>
      </c>
      <c r="R112" s="49">
        <f ca="1">+R57*Recycling!M54</f>
        <v>0</v>
      </c>
      <c r="S112" s="49">
        <f ca="1">+S57*Recycling!N54</f>
        <v>0</v>
      </c>
      <c r="T112" s="49">
        <f ca="1">+T57*Recycling!O54</f>
        <v>0</v>
      </c>
      <c r="U112" s="144">
        <f t="shared" ca="1" si="43"/>
        <v>0</v>
      </c>
      <c r="V112" s="49">
        <f ca="1">+V57*Recycling!P54</f>
        <v>0</v>
      </c>
      <c r="W112" s="49">
        <f ca="1">+W57*Recycling!Q54</f>
        <v>0</v>
      </c>
      <c r="X112" s="49">
        <f ca="1">+X57*Recycling!R54</f>
        <v>0</v>
      </c>
    </row>
    <row r="113" spans="2:25" s="43" customFormat="1" x14ac:dyDescent="0.5">
      <c r="B113" s="44" t="s">
        <v>38</v>
      </c>
      <c r="E113" s="44"/>
      <c r="F113" s="44"/>
      <c r="G113" s="299"/>
      <c r="H113" s="104">
        <f ca="1">SUM(H110:H112)</f>
        <v>88668.430410708548</v>
      </c>
      <c r="I113" s="308">
        <f t="shared" ca="1" si="44"/>
        <v>1.7979748557748875E-2</v>
      </c>
      <c r="J113" s="113"/>
      <c r="K113" s="152">
        <f t="shared" ref="K113:R113" ca="1" si="45">SUM(K110:K112)</f>
        <v>11201.117975472396</v>
      </c>
      <c r="L113" s="152">
        <f t="shared" ca="1" si="45"/>
        <v>21658.054393375114</v>
      </c>
      <c r="M113" s="152">
        <f ca="1">SUM(M110:M112)</f>
        <v>0</v>
      </c>
      <c r="N113" s="152">
        <f ca="1">SUM(N110:N112)</f>
        <v>585.20906600450849</v>
      </c>
      <c r="O113" s="137">
        <f t="shared" ca="1" si="45"/>
        <v>33444.381434852017</v>
      </c>
      <c r="P113" s="151">
        <f t="shared" ca="1" si="45"/>
        <v>0</v>
      </c>
      <c r="Q113" s="152">
        <f t="shared" ca="1" si="45"/>
        <v>30603.261715650948</v>
      </c>
      <c r="R113" s="152">
        <f t="shared" ca="1" si="45"/>
        <v>24620.787260205583</v>
      </c>
      <c r="S113" s="152">
        <f ca="1">SUM(S110:S112)</f>
        <v>0</v>
      </c>
      <c r="T113" s="152">
        <f t="shared" ref="T113:X113" ca="1" si="46">SUM(T110:T112)</f>
        <v>0</v>
      </c>
      <c r="U113" s="137">
        <f t="shared" ca="1" si="46"/>
        <v>55224.048975856531</v>
      </c>
      <c r="V113" s="152">
        <f t="shared" ca="1" si="46"/>
        <v>0</v>
      </c>
      <c r="W113" s="152">
        <f t="shared" ca="1" si="46"/>
        <v>0</v>
      </c>
      <c r="X113" s="152">
        <f t="shared" ca="1" si="46"/>
        <v>0</v>
      </c>
    </row>
    <row r="114" spans="2:25" s="43" customFormat="1" ht="7.1" customHeight="1" thickBot="1" x14ac:dyDescent="0.55000000000000004">
      <c r="B114" s="44"/>
      <c r="E114" s="44"/>
      <c r="F114" s="44"/>
      <c r="G114" s="299"/>
      <c r="H114" s="104"/>
      <c r="I114" s="104"/>
      <c r="J114" s="113"/>
      <c r="K114" s="74"/>
      <c r="L114" s="74"/>
      <c r="M114" s="74"/>
      <c r="N114" s="74"/>
      <c r="O114" s="137"/>
      <c r="P114" s="136"/>
      <c r="Q114" s="74"/>
      <c r="R114" s="74"/>
      <c r="S114" s="74"/>
      <c r="T114" s="74"/>
      <c r="U114" s="137"/>
      <c r="V114" s="74"/>
      <c r="W114" s="74"/>
      <c r="X114" s="74"/>
    </row>
    <row r="115" spans="2:25" s="43" customFormat="1" ht="14.7" thickBot="1" x14ac:dyDescent="0.55000000000000004">
      <c r="B115" s="146" t="s">
        <v>39</v>
      </c>
      <c r="C115" s="147"/>
      <c r="D115" s="147"/>
      <c r="E115" s="148"/>
      <c r="F115" s="148"/>
      <c r="G115" s="299"/>
      <c r="H115" s="182">
        <f ca="1">SUM(H73,H81,H86,H91,H101,H104,H107,H113)</f>
        <v>2635359.9024240375</v>
      </c>
      <c r="I115" s="306">
        <f t="shared" ca="1" si="44"/>
        <v>0.53438532953928675</v>
      </c>
      <c r="J115" s="114"/>
      <c r="K115" s="154">
        <f t="shared" ref="K115:R115" ca="1" si="47">SUM(K73,K81,K86,K91,K101,K104,K107,K113)</f>
        <v>416039.54511966481</v>
      </c>
      <c r="L115" s="154">
        <f t="shared" ca="1" si="47"/>
        <v>919302.22853972646</v>
      </c>
      <c r="M115" s="154">
        <f ca="1">SUM(M73,M81,M86,M91,M101,M104,M107,M113)</f>
        <v>117818.03787773829</v>
      </c>
      <c r="N115" s="154">
        <f ca="1">SUM(N73,N81,N86,N91,N101,N104,N107,N113)</f>
        <v>58458.654256908019</v>
      </c>
      <c r="O115" s="149">
        <f t="shared" ca="1" si="47"/>
        <v>1511618.4657940376</v>
      </c>
      <c r="P115" s="153">
        <f t="shared" ca="1" si="47"/>
        <v>482268.07792942587</v>
      </c>
      <c r="Q115" s="154">
        <f t="shared" ca="1" si="47"/>
        <v>445571.4455749293</v>
      </c>
      <c r="R115" s="154">
        <f t="shared" ca="1" si="47"/>
        <v>188330.43729214225</v>
      </c>
      <c r="S115" s="154">
        <f ca="1">SUM(S73,S81,S86,S91,S101,S104,S107,S113)</f>
        <v>0</v>
      </c>
      <c r="T115" s="154">
        <f t="shared" ref="T115:X115" ca="1" si="48">SUM(T73,T81,T86,T91,T101,T104,T107,T113)</f>
        <v>0</v>
      </c>
      <c r="U115" s="149">
        <f t="shared" ca="1" si="48"/>
        <v>1116169.9607964975</v>
      </c>
      <c r="V115" s="154">
        <f t="shared" ca="1" si="48"/>
        <v>0</v>
      </c>
      <c r="W115" s="154">
        <f t="shared" ca="1" si="48"/>
        <v>7571.4758335020979</v>
      </c>
      <c r="X115" s="155">
        <f t="shared" ca="1" si="48"/>
        <v>0</v>
      </c>
    </row>
    <row r="116" spans="2:25" s="1" customFormat="1" x14ac:dyDescent="0.5">
      <c r="J116" s="64"/>
    </row>
    <row r="117" spans="2:25" s="1" customFormat="1" x14ac:dyDescent="0.5">
      <c r="J117" s="64"/>
    </row>
    <row r="118" spans="2:25" ht="16" thickBot="1" x14ac:dyDescent="0.6">
      <c r="B118" s="46" t="str">
        <f>+"TOTAL UNITS AND MASS COMPOSTABLE -- "&amp;CHOOSE(Composting!$L$4,Composting!B57,Composting!B101,Composting!B145)&amp;""</f>
        <v>TOTAL UNITS AND MASS COMPOSTABLE -- Technically Compostable in NYC</v>
      </c>
      <c r="C118" s="46"/>
      <c r="D118" s="46"/>
      <c r="E118" s="46"/>
      <c r="F118" s="46"/>
      <c r="G118" s="46"/>
      <c r="H118" s="46"/>
      <c r="I118" s="46"/>
      <c r="K118" s="178" t="str">
        <f>"TOTAL MASS COMPOSTABLE BY MATERIAL ("&amp;$F$4&amp;")"</f>
        <v>TOTAL MASS COMPOSTABLE BY MATERIAL (Short Tons)</v>
      </c>
      <c r="L118" s="178"/>
      <c r="M118" s="178"/>
      <c r="N118" s="178"/>
      <c r="O118" s="178"/>
      <c r="P118" s="178"/>
      <c r="Q118" s="178"/>
      <c r="R118" s="178"/>
      <c r="S118" s="178"/>
      <c r="T118" s="178"/>
      <c r="U118" s="178"/>
      <c r="V118" s="178"/>
      <c r="W118" s="178"/>
      <c r="X118" s="178"/>
      <c r="Y118" s="96"/>
    </row>
    <row r="119" spans="2:25" s="56" customFormat="1" ht="16" thickBot="1" x14ac:dyDescent="0.6">
      <c r="B119" s="217"/>
      <c r="C119" s="217"/>
      <c r="D119" s="217"/>
      <c r="E119" s="217"/>
      <c r="F119" s="217"/>
      <c r="G119" s="217"/>
      <c r="H119" s="217"/>
      <c r="I119" s="217"/>
      <c r="J119" s="216"/>
      <c r="K119" s="212" t="s">
        <v>73</v>
      </c>
      <c r="L119" s="212"/>
      <c r="M119" s="212"/>
      <c r="N119" s="212"/>
      <c r="O119" s="218"/>
      <c r="P119" s="372" t="s">
        <v>72</v>
      </c>
      <c r="Q119" s="373"/>
      <c r="R119" s="373"/>
      <c r="S119" s="373"/>
      <c r="T119" s="373"/>
      <c r="U119" s="374"/>
      <c r="V119" s="375" t="s">
        <v>4</v>
      </c>
      <c r="W119" s="376"/>
      <c r="X119" s="376"/>
      <c r="Y119"/>
    </row>
    <row r="120" spans="2:25" s="36" customFormat="1" ht="15.7" x14ac:dyDescent="0.55000000000000004">
      <c r="B120" s="111"/>
      <c r="C120" s="111"/>
      <c r="D120" s="111"/>
      <c r="E120" s="111"/>
      <c r="F120" s="111"/>
      <c r="G120" s="300" t="s">
        <v>32</v>
      </c>
      <c r="H120" s="215" t="s">
        <v>33</v>
      </c>
      <c r="I120" s="215"/>
      <c r="J120" s="111"/>
      <c r="K120" s="59" t="str">
        <f>+K10</f>
        <v>Lined</v>
      </c>
      <c r="L120" s="59" t="str">
        <f t="shared" ref="L120:U120" si="49">+L10</f>
        <v>Unlined</v>
      </c>
      <c r="M120" s="59" t="s">
        <v>61</v>
      </c>
      <c r="N120" s="59" t="s">
        <v>182</v>
      </c>
      <c r="O120" s="203" t="str">
        <f t="shared" si="49"/>
        <v>TOTAL</v>
      </c>
      <c r="P120" s="202"/>
      <c r="Q120" s="59"/>
      <c r="R120" s="59"/>
      <c r="S120" s="59" t="str">
        <f t="shared" si="49"/>
        <v>EPS</v>
      </c>
      <c r="T120" s="59" t="s">
        <v>71</v>
      </c>
      <c r="U120" s="203" t="str">
        <f t="shared" si="49"/>
        <v>TOTAL</v>
      </c>
      <c r="V120" s="59"/>
      <c r="W120" s="59"/>
      <c r="X120" s="59"/>
    </row>
    <row r="121" spans="2:25" s="36" customFormat="1" ht="16" thickBot="1" x14ac:dyDescent="0.6">
      <c r="B121" s="39"/>
      <c r="C121" s="39"/>
      <c r="D121" s="39"/>
      <c r="E121" s="39"/>
      <c r="F121" s="39"/>
      <c r="G121" s="40" t="s">
        <v>44</v>
      </c>
      <c r="H121" s="40" t="s">
        <v>56</v>
      </c>
      <c r="I121" s="215"/>
      <c r="J121" s="111"/>
      <c r="K121" s="29" t="str">
        <f>+K11</f>
        <v>Paper</v>
      </c>
      <c r="L121" s="29" t="str">
        <f t="shared" ref="L121:X121" si="50">+L11</f>
        <v>Paper</v>
      </c>
      <c r="M121" s="29" t="s">
        <v>62</v>
      </c>
      <c r="N121" s="29" t="s">
        <v>62</v>
      </c>
      <c r="O121" s="70" t="str">
        <f t="shared" si="50"/>
        <v>PAPER</v>
      </c>
      <c r="P121" s="58" t="str">
        <f t="shared" si="50"/>
        <v>PET</v>
      </c>
      <c r="Q121" s="29" t="str">
        <f t="shared" si="50"/>
        <v>PP</v>
      </c>
      <c r="R121" s="29" t="str">
        <f t="shared" si="50"/>
        <v>PS</v>
      </c>
      <c r="S121" s="29" t="str">
        <f t="shared" si="50"/>
        <v>Foam</v>
      </c>
      <c r="T121" s="29" t="str">
        <f t="shared" si="50"/>
        <v>Film</v>
      </c>
      <c r="U121" s="70" t="str">
        <f t="shared" si="50"/>
        <v>PLASTIC</v>
      </c>
      <c r="V121" s="29" t="str">
        <f t="shared" si="50"/>
        <v>PLA</v>
      </c>
      <c r="W121" s="29" t="str">
        <f t="shared" si="50"/>
        <v>Aluminum</v>
      </c>
      <c r="X121" s="29" t="str">
        <f t="shared" si="50"/>
        <v>Wood</v>
      </c>
    </row>
    <row r="122" spans="2:25" s="1" customFormat="1" ht="15.7" x14ac:dyDescent="0.55000000000000004">
      <c r="B122" s="7" t="s">
        <v>21</v>
      </c>
      <c r="C122" s="8"/>
      <c r="D122" s="8"/>
      <c r="E122" s="9"/>
      <c r="F122" s="9"/>
      <c r="G122" s="304"/>
      <c r="H122" s="54"/>
      <c r="I122" s="54"/>
      <c r="J122" s="64"/>
      <c r="K122" s="179"/>
      <c r="L122" s="179"/>
      <c r="M122" s="179"/>
      <c r="N122" s="179"/>
      <c r="O122" s="180"/>
      <c r="P122" s="181"/>
      <c r="Q122" s="179"/>
      <c r="R122" s="179"/>
      <c r="S122" s="179"/>
      <c r="T122" s="179"/>
      <c r="U122" s="180"/>
      <c r="V122" s="179"/>
      <c r="W122" s="179"/>
      <c r="X122" s="179"/>
    </row>
    <row r="123" spans="2:25" s="1" customFormat="1" x14ac:dyDescent="0.5">
      <c r="B123" s="94" t="s">
        <v>59</v>
      </c>
      <c r="C123" s="56"/>
      <c r="D123" s="56"/>
      <c r="E123" s="55"/>
      <c r="F123" s="55"/>
      <c r="G123" s="303"/>
      <c r="H123" s="95"/>
      <c r="I123" s="95"/>
      <c r="J123" s="64"/>
      <c r="K123" s="74"/>
      <c r="L123" s="74"/>
      <c r="M123" s="74"/>
      <c r="N123" s="74"/>
      <c r="O123" s="137"/>
      <c r="P123" s="136"/>
      <c r="Q123" s="74"/>
      <c r="R123" s="74"/>
      <c r="S123" s="74"/>
      <c r="T123" s="74"/>
      <c r="U123" s="137"/>
      <c r="V123" s="74"/>
      <c r="W123" s="74"/>
      <c r="X123" s="74"/>
    </row>
    <row r="124" spans="2:25" s="1" customFormat="1" x14ac:dyDescent="0.5">
      <c r="B124" s="2"/>
      <c r="C124" s="1" t="s">
        <v>52</v>
      </c>
      <c r="G124" s="293"/>
      <c r="H124" s="99">
        <f ca="1">+SUM(O124,U124:X124)</f>
        <v>225265.83429399732</v>
      </c>
      <c r="I124" s="305">
        <f ca="1">H124/$H$60</f>
        <v>4.5678298809363464E-2</v>
      </c>
      <c r="J124" s="112"/>
      <c r="K124" s="74">
        <f ca="1">+K14*Composting!G16</f>
        <v>47610.178270143355</v>
      </c>
      <c r="L124" s="74">
        <f ca="1">+L14*Composting!H16</f>
        <v>177655.65602385398</v>
      </c>
      <c r="M124" s="74">
        <f ca="1">+M14*Composting!I16</f>
        <v>0</v>
      </c>
      <c r="N124" s="74">
        <f ca="1">+N14*Composting!J16</f>
        <v>0</v>
      </c>
      <c r="O124" s="137">
        <f ca="1">SUM(K124:N124)</f>
        <v>225265.83429399732</v>
      </c>
      <c r="P124" s="136">
        <f ca="1">+P14*Composting!K16</f>
        <v>0</v>
      </c>
      <c r="Q124" s="74">
        <f ca="1">+Q14*Composting!L16</f>
        <v>0</v>
      </c>
      <c r="R124" s="74">
        <f ca="1">+R14*Composting!M16</f>
        <v>0</v>
      </c>
      <c r="S124" s="74">
        <f ca="1">+S14*Composting!N16</f>
        <v>0</v>
      </c>
      <c r="T124" s="74">
        <f ca="1">+T14*Composting!O16</f>
        <v>0</v>
      </c>
      <c r="U124" s="137">
        <f ca="1">SUM(P124:T124)</f>
        <v>0</v>
      </c>
      <c r="V124" s="74">
        <f ca="1">+V14*Composting!P16</f>
        <v>0</v>
      </c>
      <c r="W124" s="74">
        <f ca="1">+W14*Composting!Q16</f>
        <v>0</v>
      </c>
      <c r="X124" s="74">
        <f ca="1">+X14*Composting!R16</f>
        <v>0</v>
      </c>
    </row>
    <row r="125" spans="2:25" s="1" customFormat="1" x14ac:dyDescent="0.5">
      <c r="B125" s="2"/>
      <c r="C125" s="1" t="s">
        <v>4</v>
      </c>
      <c r="G125" s="293"/>
      <c r="H125" s="99">
        <f ca="1">+SUM(O125,U125:X125)</f>
        <v>44728.101687329494</v>
      </c>
      <c r="I125" s="305">
        <f t="shared" ref="I125:I128" ca="1" si="51">H125/$H$60</f>
        <v>9.0697446439345526E-3</v>
      </c>
      <c r="J125" s="112"/>
      <c r="K125" s="74">
        <f ca="1">+K15*Composting!G17</f>
        <v>44728.101687329494</v>
      </c>
      <c r="L125" s="74">
        <f ca="1">+L15*Composting!H17</f>
        <v>0</v>
      </c>
      <c r="M125" s="74">
        <f ca="1">+M15*Composting!I17</f>
        <v>0</v>
      </c>
      <c r="N125" s="74">
        <f ca="1">+N15*Composting!J17</f>
        <v>0</v>
      </c>
      <c r="O125" s="137">
        <f ca="1">SUM(K125:N125)</f>
        <v>44728.101687329494</v>
      </c>
      <c r="P125" s="136">
        <f ca="1">+P15*Composting!K17</f>
        <v>0</v>
      </c>
      <c r="Q125" s="74">
        <f ca="1">+Q15*Composting!L17</f>
        <v>0</v>
      </c>
      <c r="R125" s="74">
        <f ca="1">+R15*Composting!M17</f>
        <v>0</v>
      </c>
      <c r="S125" s="74">
        <f ca="1">+S15*Composting!N17</f>
        <v>0</v>
      </c>
      <c r="T125" s="74">
        <f ca="1">+T15*Composting!O17</f>
        <v>0</v>
      </c>
      <c r="U125" s="137">
        <f t="shared" ref="U125:U127" ca="1" si="52">SUM(P125:T125)</f>
        <v>0</v>
      </c>
      <c r="V125" s="74">
        <f ca="1">+V15*Composting!P17</f>
        <v>0</v>
      </c>
      <c r="W125" s="74">
        <f ca="1">+W15*Composting!Q17</f>
        <v>0</v>
      </c>
      <c r="X125" s="74">
        <f ca="1">+X15*Composting!R17</f>
        <v>0</v>
      </c>
    </row>
    <row r="126" spans="2:25" s="1" customFormat="1" x14ac:dyDescent="0.5">
      <c r="B126" s="2" t="s">
        <v>5</v>
      </c>
      <c r="E126" s="2"/>
      <c r="F126" s="2"/>
      <c r="G126" s="293"/>
      <c r="H126" s="99">
        <f ca="1">+SUM(O126,U126:X126)</f>
        <v>25052.474023179399</v>
      </c>
      <c r="I126" s="305">
        <f t="shared" ca="1" si="51"/>
        <v>5.0800175620555627E-3</v>
      </c>
      <c r="J126" s="112"/>
      <c r="K126" s="74">
        <f ca="1">+K16*Composting!G18</f>
        <v>2650.883716454086</v>
      </c>
      <c r="L126" s="74">
        <f ca="1">+L16*Composting!H18</f>
        <v>5301.7674329081719</v>
      </c>
      <c r="M126" s="74">
        <f ca="1">+M16*Composting!I18</f>
        <v>5296.191661943265</v>
      </c>
      <c r="N126" s="74">
        <f ca="1">+N16*Composting!J18</f>
        <v>5833.7246782354196</v>
      </c>
      <c r="O126" s="137">
        <f ca="1">SUM(K126:N126)</f>
        <v>19082.567489540943</v>
      </c>
      <c r="P126" s="136">
        <f ca="1">+P16*Composting!K18</f>
        <v>0</v>
      </c>
      <c r="Q126" s="74">
        <f ca="1">+Q16*Composting!L18</f>
        <v>0</v>
      </c>
      <c r="R126" s="74">
        <f ca="1">+R16*Composting!M18</f>
        <v>0</v>
      </c>
      <c r="S126" s="74">
        <f ca="1">+S16*Composting!N18</f>
        <v>0</v>
      </c>
      <c r="T126" s="74">
        <f ca="1">+T16*Composting!O18</f>
        <v>0</v>
      </c>
      <c r="U126" s="137">
        <f t="shared" ca="1" si="52"/>
        <v>0</v>
      </c>
      <c r="V126" s="74">
        <f ca="1">+V16*Composting!P18</f>
        <v>5969.9065336384538</v>
      </c>
      <c r="W126" s="74">
        <f ca="1">+W16*Composting!Q18</f>
        <v>0</v>
      </c>
      <c r="X126" s="74">
        <f ca="1">+X16*Composting!R18</f>
        <v>0</v>
      </c>
    </row>
    <row r="127" spans="2:25" s="1" customFormat="1" x14ac:dyDescent="0.5">
      <c r="B127" s="47" t="s">
        <v>6</v>
      </c>
      <c r="C127" s="48"/>
      <c r="D127" s="48"/>
      <c r="E127" s="48"/>
      <c r="F127" s="48"/>
      <c r="G127" s="293"/>
      <c r="H127" s="101">
        <f ca="1">+SUM(O127,U127:X127)</f>
        <v>68741.207104493093</v>
      </c>
      <c r="I127" s="307">
        <f t="shared" ca="1" si="51"/>
        <v>1.3939004148038465E-2</v>
      </c>
      <c r="J127" s="112"/>
      <c r="K127" s="49">
        <f ca="1">+K17*Composting!G19</f>
        <v>4859.8889898926363</v>
      </c>
      <c r="L127" s="49">
        <f ca="1">+L17*Composting!H19</f>
        <v>0</v>
      </c>
      <c r="M127" s="49">
        <f ca="1">+M17*Composting!I19</f>
        <v>61851.987819798611</v>
      </c>
      <c r="N127" s="49">
        <f ca="1">+N17*Composting!J19</f>
        <v>2029.330294801832</v>
      </c>
      <c r="O127" s="144">
        <f ca="1">SUM(K127:N127)</f>
        <v>68741.207104493093</v>
      </c>
      <c r="P127" s="143">
        <f ca="1">+P17*Composting!K19</f>
        <v>0</v>
      </c>
      <c r="Q127" s="49">
        <f ca="1">+Q17*Composting!L19</f>
        <v>0</v>
      </c>
      <c r="R127" s="49">
        <f ca="1">+R17*Composting!M19</f>
        <v>0</v>
      </c>
      <c r="S127" s="49">
        <f ca="1">+S17*Composting!N19</f>
        <v>0</v>
      </c>
      <c r="T127" s="49">
        <f ca="1">+T17*Composting!O19</f>
        <v>0</v>
      </c>
      <c r="U127" s="144">
        <f t="shared" ca="1" si="52"/>
        <v>0</v>
      </c>
      <c r="V127" s="49">
        <f ca="1">+V17*Composting!P19</f>
        <v>0</v>
      </c>
      <c r="W127" s="49">
        <f ca="1">+W17*Composting!Q19</f>
        <v>0</v>
      </c>
      <c r="X127" s="49">
        <f ca="1">+X17*Composting!R19</f>
        <v>0</v>
      </c>
    </row>
    <row r="128" spans="2:25" s="43" customFormat="1" x14ac:dyDescent="0.5">
      <c r="B128" s="44" t="s">
        <v>34</v>
      </c>
      <c r="G128" s="294"/>
      <c r="H128" s="103">
        <f ca="1">SUM(H124:H127)</f>
        <v>363787.61710899929</v>
      </c>
      <c r="I128" s="308">
        <f t="shared" ca="1" si="51"/>
        <v>7.3767065163392043E-2</v>
      </c>
      <c r="J128" s="113"/>
      <c r="K128" s="152">
        <f t="shared" ref="K128:R128" ca="1" si="53">SUM(K124:K127)</f>
        <v>99849.052663819573</v>
      </c>
      <c r="L128" s="152">
        <f t="shared" ca="1" si="53"/>
        <v>182957.42345676216</v>
      </c>
      <c r="M128" s="152">
        <f ca="1">SUM(M124:M127)</f>
        <v>67148.17948174187</v>
      </c>
      <c r="N128" s="152">
        <f ca="1">SUM(N124:N127)</f>
        <v>7863.0549730372513</v>
      </c>
      <c r="O128" s="137">
        <f t="shared" ca="1" si="53"/>
        <v>357817.71057536086</v>
      </c>
      <c r="P128" s="151">
        <f t="shared" ca="1" si="53"/>
        <v>0</v>
      </c>
      <c r="Q128" s="152">
        <f t="shared" ca="1" si="53"/>
        <v>0</v>
      </c>
      <c r="R128" s="152">
        <f t="shared" ca="1" si="53"/>
        <v>0</v>
      </c>
      <c r="S128" s="152">
        <f ca="1">SUM(S124:S127)</f>
        <v>0</v>
      </c>
      <c r="T128" s="152">
        <f t="shared" ref="T128:X128" ca="1" si="54">SUM(T124:T127)</f>
        <v>0</v>
      </c>
      <c r="U128" s="137">
        <f t="shared" ca="1" si="54"/>
        <v>0</v>
      </c>
      <c r="V128" s="152">
        <f t="shared" ca="1" si="54"/>
        <v>5969.9065336384538</v>
      </c>
      <c r="W128" s="152">
        <f t="shared" ca="1" si="54"/>
        <v>0</v>
      </c>
      <c r="X128" s="152">
        <f t="shared" ca="1" si="54"/>
        <v>0</v>
      </c>
    </row>
    <row r="129" spans="2:24" s="1" customFormat="1" ht="7.1" customHeight="1" x14ac:dyDescent="0.5">
      <c r="B129" s="3"/>
      <c r="G129" s="295"/>
      <c r="H129" s="100"/>
      <c r="I129" s="100"/>
      <c r="J129" s="112"/>
      <c r="K129" s="74"/>
      <c r="L129" s="74"/>
      <c r="M129" s="74"/>
      <c r="N129" s="74"/>
      <c r="O129" s="137"/>
      <c r="P129" s="136"/>
      <c r="Q129" s="74"/>
      <c r="R129" s="74"/>
      <c r="S129" s="74"/>
      <c r="T129" s="74"/>
      <c r="U129" s="137"/>
      <c r="V129" s="74"/>
      <c r="W129" s="74"/>
      <c r="X129" s="74"/>
    </row>
    <row r="130" spans="2:24" s="1" customFormat="1" x14ac:dyDescent="0.5">
      <c r="B130" s="10" t="s">
        <v>22</v>
      </c>
      <c r="C130" s="9"/>
      <c r="D130" s="9"/>
      <c r="E130" s="9"/>
      <c r="F130" s="9"/>
      <c r="G130" s="294"/>
      <c r="H130" s="106"/>
      <c r="I130" s="106"/>
      <c r="J130" s="112"/>
      <c r="K130" s="140"/>
      <c r="L130" s="140"/>
      <c r="M130" s="140"/>
      <c r="N130" s="140"/>
      <c r="O130" s="141"/>
      <c r="P130" s="139"/>
      <c r="Q130" s="140"/>
      <c r="R130" s="140"/>
      <c r="S130" s="140"/>
      <c r="T130" s="140"/>
      <c r="U130" s="141"/>
      <c r="V130" s="140"/>
      <c r="W130" s="140"/>
      <c r="X130" s="140"/>
    </row>
    <row r="131" spans="2:24" s="1" customFormat="1" x14ac:dyDescent="0.5">
      <c r="B131" s="2" t="s">
        <v>53</v>
      </c>
      <c r="G131" s="296"/>
      <c r="H131" s="100"/>
      <c r="I131" s="100"/>
      <c r="J131" s="112"/>
      <c r="K131" s="74"/>
      <c r="L131" s="74"/>
      <c r="M131" s="74"/>
      <c r="N131" s="74"/>
      <c r="O131" s="137"/>
      <c r="P131" s="136"/>
      <c r="Q131" s="74"/>
      <c r="R131" s="74"/>
      <c r="S131" s="74"/>
      <c r="T131" s="74"/>
      <c r="U131" s="137"/>
      <c r="V131" s="74"/>
      <c r="W131" s="74"/>
      <c r="X131" s="74"/>
    </row>
    <row r="132" spans="2:24" s="1" customFormat="1" x14ac:dyDescent="0.5">
      <c r="B132" s="2"/>
      <c r="C132" s="2" t="s">
        <v>47</v>
      </c>
      <c r="G132" s="293"/>
      <c r="H132" s="99">
        <f ca="1">+SUM(O132,U132:X132)</f>
        <v>3586.271046809637</v>
      </c>
      <c r="I132" s="305">
        <f ca="1">H132/$H$60</f>
        <v>7.2720641814569427E-4</v>
      </c>
      <c r="J132" s="112"/>
      <c r="K132" s="74">
        <f ca="1">+K22*Composting!G23</f>
        <v>0</v>
      </c>
      <c r="L132" s="74">
        <f ca="1">+L22*Composting!H23</f>
        <v>0</v>
      </c>
      <c r="M132" s="74">
        <f ca="1">+M22*Composting!I23</f>
        <v>0</v>
      </c>
      <c r="N132" s="74">
        <f ca="1">+N22*Composting!J23</f>
        <v>0</v>
      </c>
      <c r="O132" s="137">
        <f ca="1">SUM(K132:N132)</f>
        <v>0</v>
      </c>
      <c r="P132" s="136">
        <f ca="1">+P22*Composting!K23</f>
        <v>0</v>
      </c>
      <c r="Q132" s="74">
        <f ca="1">+Q22*Composting!L23</f>
        <v>0</v>
      </c>
      <c r="R132" s="74">
        <f ca="1">+R22*Composting!M23</f>
        <v>0</v>
      </c>
      <c r="S132" s="74">
        <f ca="1">+S22*Composting!N23</f>
        <v>0</v>
      </c>
      <c r="T132" s="74">
        <f ca="1">+T22*Composting!O23</f>
        <v>0</v>
      </c>
      <c r="U132" s="137">
        <f t="shared" ref="U132:U135" ca="1" si="55">SUM(P132:T132)</f>
        <v>0</v>
      </c>
      <c r="V132" s="74">
        <f ca="1">+V22*Composting!P23</f>
        <v>3586.271046809637</v>
      </c>
      <c r="W132" s="74">
        <f ca="1">+W22*Composting!Q23</f>
        <v>0</v>
      </c>
      <c r="X132" s="74">
        <f ca="1">+X22*Composting!R23</f>
        <v>0</v>
      </c>
    </row>
    <row r="133" spans="2:24" s="1" customFormat="1" x14ac:dyDescent="0.5">
      <c r="B133" s="3"/>
      <c r="C133" s="2" t="s">
        <v>48</v>
      </c>
      <c r="E133" s="2"/>
      <c r="F133" s="2"/>
      <c r="G133" s="293"/>
      <c r="H133" s="99">
        <f ca="1">+SUM(O133,U133:X133)</f>
        <v>12469.506254711003</v>
      </c>
      <c r="I133" s="305">
        <f t="shared" ref="I133:I136" ca="1" si="56">H133/$H$60</f>
        <v>2.5285051969511814E-3</v>
      </c>
      <c r="J133" s="112"/>
      <c r="K133" s="74">
        <f ca="1">+K23*Composting!G24</f>
        <v>0</v>
      </c>
      <c r="L133" s="74">
        <f ca="1">+L23*Composting!H24</f>
        <v>0</v>
      </c>
      <c r="M133" s="74">
        <f ca="1">+M23*Composting!I24</f>
        <v>0</v>
      </c>
      <c r="N133" s="74">
        <f ca="1">+N23*Composting!J24</f>
        <v>0</v>
      </c>
      <c r="O133" s="137">
        <f ca="1">SUM(K133:N133)</f>
        <v>0</v>
      </c>
      <c r="P133" s="136">
        <f ca="1">+P23*Composting!K24</f>
        <v>0</v>
      </c>
      <c r="Q133" s="74">
        <f ca="1">+Q23*Composting!L24</f>
        <v>0</v>
      </c>
      <c r="R133" s="74">
        <f ca="1">+R23*Composting!M24</f>
        <v>0</v>
      </c>
      <c r="S133" s="74">
        <f ca="1">+S23*Composting!N24</f>
        <v>0</v>
      </c>
      <c r="T133" s="74">
        <f ca="1">+T23*Composting!O24</f>
        <v>0</v>
      </c>
      <c r="U133" s="137">
        <f t="shared" ca="1" si="55"/>
        <v>0</v>
      </c>
      <c r="V133" s="74">
        <f ca="1">+V23*Composting!P24</f>
        <v>12469.506254711003</v>
      </c>
      <c r="W133" s="74">
        <f ca="1">+W23*Composting!Q24</f>
        <v>0</v>
      </c>
      <c r="X133" s="74">
        <f ca="1">+X23*Composting!R24</f>
        <v>0</v>
      </c>
    </row>
    <row r="134" spans="2:24" s="1" customFormat="1" x14ac:dyDescent="0.5">
      <c r="B134" s="2" t="s">
        <v>46</v>
      </c>
      <c r="C134" s="2"/>
      <c r="E134" s="2"/>
      <c r="F134" s="2"/>
      <c r="G134" s="293"/>
      <c r="H134" s="99">
        <f ca="1">+SUM(O134,U134:X134)</f>
        <v>3025.1184153750341</v>
      </c>
      <c r="I134" s="305">
        <f t="shared" ca="1" si="56"/>
        <v>6.1341864532757091E-4</v>
      </c>
      <c r="J134" s="112"/>
      <c r="K134" s="74">
        <f ca="1">+K24*Composting!G25</f>
        <v>0</v>
      </c>
      <c r="L134" s="74">
        <f ca="1">+L24*Composting!H25</f>
        <v>0</v>
      </c>
      <c r="M134" s="74">
        <f ca="1">+M24*Composting!I25</f>
        <v>0</v>
      </c>
      <c r="N134" s="74">
        <f ca="1">+N24*Composting!J25</f>
        <v>0</v>
      </c>
      <c r="O134" s="137">
        <f ca="1">SUM(K134:N134)</f>
        <v>0</v>
      </c>
      <c r="P134" s="136">
        <f ca="1">+P24*Composting!K25</f>
        <v>0</v>
      </c>
      <c r="Q134" s="74">
        <f ca="1">+Q24*Composting!L25</f>
        <v>0</v>
      </c>
      <c r="R134" s="74">
        <f ca="1">+R24*Composting!M25</f>
        <v>0</v>
      </c>
      <c r="S134" s="74">
        <f ca="1">+S24*Composting!N25</f>
        <v>0</v>
      </c>
      <c r="T134" s="74">
        <f ca="1">+T24*Composting!O25</f>
        <v>0</v>
      </c>
      <c r="U134" s="137">
        <f t="shared" ca="1" si="55"/>
        <v>0</v>
      </c>
      <c r="V134" s="74">
        <f ca="1">+V24*Composting!P25</f>
        <v>3025.1184153750341</v>
      </c>
      <c r="W134" s="74">
        <f ca="1">+W24*Composting!Q25</f>
        <v>0</v>
      </c>
      <c r="X134" s="74">
        <f ca="1">+X24*Composting!R25</f>
        <v>0</v>
      </c>
    </row>
    <row r="135" spans="2:24" s="1" customFormat="1" x14ac:dyDescent="0.5">
      <c r="B135" s="47" t="s">
        <v>8</v>
      </c>
      <c r="C135" s="48"/>
      <c r="D135" s="48"/>
      <c r="E135" s="47"/>
      <c r="F135" s="47"/>
      <c r="G135" s="293"/>
      <c r="H135" s="101">
        <f ca="1">+SUM(O135,U135:X135)</f>
        <v>1787.4296592935953</v>
      </c>
      <c r="I135" s="307">
        <f t="shared" ca="1" si="56"/>
        <v>3.624462019898382E-4</v>
      </c>
      <c r="J135" s="112"/>
      <c r="K135" s="49">
        <f ca="1">+K25*Composting!G26</f>
        <v>0</v>
      </c>
      <c r="L135" s="49">
        <f ca="1">+L25*Composting!H26</f>
        <v>0</v>
      </c>
      <c r="M135" s="49">
        <f ca="1">+M25*Composting!I26</f>
        <v>1266.9916033796858</v>
      </c>
      <c r="N135" s="49">
        <f ca="1">+N25*Composting!J26</f>
        <v>0</v>
      </c>
      <c r="O135" s="144">
        <f ca="1">SUM(K135:N135)</f>
        <v>1266.9916033796858</v>
      </c>
      <c r="P135" s="143">
        <f ca="1">+P25*Composting!K26</f>
        <v>0</v>
      </c>
      <c r="Q135" s="49">
        <f ca="1">+Q25*Composting!L26</f>
        <v>0</v>
      </c>
      <c r="R135" s="49">
        <f ca="1">+R25*Composting!M26</f>
        <v>0</v>
      </c>
      <c r="S135" s="49">
        <f ca="1">+S25*Composting!N26</f>
        <v>0</v>
      </c>
      <c r="T135" s="49">
        <f ca="1">+T25*Composting!O26</f>
        <v>0</v>
      </c>
      <c r="U135" s="144">
        <f t="shared" ca="1" si="55"/>
        <v>0</v>
      </c>
      <c r="V135" s="49">
        <f ca="1">+V25*Composting!P26</f>
        <v>520.43805591390958</v>
      </c>
      <c r="W135" s="49">
        <f ca="1">+W25*Composting!Q26</f>
        <v>0</v>
      </c>
      <c r="X135" s="49">
        <f ca="1">+X25*Composting!R26</f>
        <v>0</v>
      </c>
    </row>
    <row r="136" spans="2:24" s="43" customFormat="1" x14ac:dyDescent="0.5">
      <c r="B136" s="44" t="s">
        <v>35</v>
      </c>
      <c r="E136" s="44"/>
      <c r="F136" s="44"/>
      <c r="G136" s="294"/>
      <c r="H136" s="103">
        <f ca="1">SUM(H132:H135)</f>
        <v>20868.32537618927</v>
      </c>
      <c r="I136" s="308">
        <f t="shared" ca="1" si="56"/>
        <v>4.2315764624142847E-3</v>
      </c>
      <c r="J136" s="113"/>
      <c r="K136" s="152">
        <f ca="1">SUM(K132:K135)</f>
        <v>0</v>
      </c>
      <c r="L136" s="152">
        <f t="shared" ref="L136:R136" ca="1" si="57">SUM(L132:L135)</f>
        <v>0</v>
      </c>
      <c r="M136" s="152">
        <f ca="1">SUM(M132:M135)</f>
        <v>1266.9916033796858</v>
      </c>
      <c r="N136" s="152">
        <f ca="1">SUM(N132:N135)</f>
        <v>0</v>
      </c>
      <c r="O136" s="137">
        <f t="shared" ca="1" si="57"/>
        <v>1266.9916033796858</v>
      </c>
      <c r="P136" s="151">
        <f t="shared" ca="1" si="57"/>
        <v>0</v>
      </c>
      <c r="Q136" s="152">
        <f t="shared" ca="1" si="57"/>
        <v>0</v>
      </c>
      <c r="R136" s="152">
        <f t="shared" ca="1" si="57"/>
        <v>0</v>
      </c>
      <c r="S136" s="152">
        <f ca="1">SUM(S132:S135)</f>
        <v>0</v>
      </c>
      <c r="T136" s="152">
        <f t="shared" ref="T136:X136" ca="1" si="58">SUM(T132:T135)</f>
        <v>0</v>
      </c>
      <c r="U136" s="137">
        <f t="shared" ca="1" si="58"/>
        <v>0</v>
      </c>
      <c r="V136" s="152">
        <f t="shared" ca="1" si="58"/>
        <v>19601.333772809583</v>
      </c>
      <c r="W136" s="152">
        <f t="shared" ca="1" si="58"/>
        <v>0</v>
      </c>
      <c r="X136" s="152">
        <f t="shared" ca="1" si="58"/>
        <v>0</v>
      </c>
    </row>
    <row r="137" spans="2:24" s="1" customFormat="1" ht="7.1" customHeight="1" x14ac:dyDescent="0.5">
      <c r="B137" s="3"/>
      <c r="E137" s="2"/>
      <c r="F137" s="2"/>
      <c r="G137" s="295"/>
      <c r="H137" s="100"/>
      <c r="I137" s="100"/>
      <c r="J137" s="112"/>
      <c r="K137" s="74"/>
      <c r="L137" s="74"/>
      <c r="M137" s="74"/>
      <c r="N137" s="74"/>
      <c r="O137" s="137"/>
      <c r="P137" s="136"/>
      <c r="Q137" s="74"/>
      <c r="R137" s="74"/>
      <c r="S137" s="74"/>
      <c r="T137" s="74"/>
      <c r="U137" s="137"/>
      <c r="V137" s="74"/>
      <c r="W137" s="74"/>
      <c r="X137" s="74"/>
    </row>
    <row r="138" spans="2:24" s="1" customFormat="1" x14ac:dyDescent="0.5">
      <c r="B138" s="7" t="s">
        <v>23</v>
      </c>
      <c r="C138" s="9"/>
      <c r="D138" s="9"/>
      <c r="E138" s="9"/>
      <c r="F138" s="9"/>
      <c r="G138" s="294"/>
      <c r="H138" s="107"/>
      <c r="I138" s="107"/>
      <c r="J138" s="112"/>
      <c r="K138" s="140"/>
      <c r="L138" s="140"/>
      <c r="M138" s="140"/>
      <c r="N138" s="140"/>
      <c r="O138" s="141"/>
      <c r="P138" s="139"/>
      <c r="Q138" s="140"/>
      <c r="R138" s="140"/>
      <c r="S138" s="140"/>
      <c r="T138" s="140"/>
      <c r="U138" s="141"/>
      <c r="V138" s="140"/>
      <c r="W138" s="140"/>
      <c r="X138" s="140"/>
    </row>
    <row r="139" spans="2:24" s="1" customFormat="1" x14ac:dyDescent="0.5">
      <c r="B139" s="2" t="s">
        <v>45</v>
      </c>
      <c r="C139" s="2"/>
      <c r="F139" s="2"/>
      <c r="G139" s="293"/>
      <c r="H139" s="99">
        <f ca="1">+SUM(O139,U139:X139)</f>
        <v>714686.7506895893</v>
      </c>
      <c r="I139" s="305">
        <f t="shared" ref="I139:I141" ca="1" si="59">H139/$H$60</f>
        <v>0.14492066697733585</v>
      </c>
      <c r="J139" s="112"/>
      <c r="K139" s="74">
        <f ca="1">+K29*Composting!G29</f>
        <v>0</v>
      </c>
      <c r="L139" s="74">
        <f ca="1">+L29*Composting!H29</f>
        <v>714686.7506895893</v>
      </c>
      <c r="M139" s="74">
        <f ca="1">+M29*Composting!I29</f>
        <v>0</v>
      </c>
      <c r="N139" s="74">
        <f ca="1">+N29*Composting!J29</f>
        <v>0</v>
      </c>
      <c r="O139" s="137">
        <f ca="1">SUM(K139:N139)</f>
        <v>714686.7506895893</v>
      </c>
      <c r="P139" s="136">
        <f ca="1">+P29*Composting!K29</f>
        <v>0</v>
      </c>
      <c r="Q139" s="74">
        <f ca="1">+Q29*Composting!L29</f>
        <v>0</v>
      </c>
      <c r="R139" s="74">
        <f ca="1">+R29*Composting!M29</f>
        <v>0</v>
      </c>
      <c r="S139" s="74">
        <f ca="1">+S29*Composting!N29</f>
        <v>0</v>
      </c>
      <c r="T139" s="74">
        <f ca="1">+T29*Composting!O29</f>
        <v>0</v>
      </c>
      <c r="U139" s="137">
        <f t="shared" ref="U139:U140" ca="1" si="60">SUM(P139:T139)</f>
        <v>0</v>
      </c>
      <c r="V139" s="74">
        <f ca="1">+V29*Composting!P29</f>
        <v>0</v>
      </c>
      <c r="W139" s="74">
        <f ca="1">+W29*Composting!Q29</f>
        <v>0</v>
      </c>
      <c r="X139" s="74">
        <f ca="1">+X29*Composting!R29</f>
        <v>0</v>
      </c>
    </row>
    <row r="140" spans="2:24" s="1" customFormat="1" x14ac:dyDescent="0.5">
      <c r="B140" s="47" t="s">
        <v>9</v>
      </c>
      <c r="C140" s="48"/>
      <c r="D140" s="48"/>
      <c r="E140" s="47"/>
      <c r="F140" s="47"/>
      <c r="G140" s="293"/>
      <c r="H140" s="101">
        <f ca="1">+SUM(O140,U140:X140)</f>
        <v>3432.5545498823285</v>
      </c>
      <c r="I140" s="307">
        <f t="shared" ca="1" si="59"/>
        <v>6.9603654233838332E-4</v>
      </c>
      <c r="J140" s="112"/>
      <c r="K140" s="49">
        <f ca="1">+K30*Composting!G30</f>
        <v>3432.5545498823285</v>
      </c>
      <c r="L140" s="49">
        <f ca="1">+L30*Composting!H30</f>
        <v>0</v>
      </c>
      <c r="M140" s="49">
        <f ca="1">+M30*Composting!I30</f>
        <v>0</v>
      </c>
      <c r="N140" s="49">
        <f ca="1">+N30*Composting!J30</f>
        <v>0</v>
      </c>
      <c r="O140" s="144">
        <f ca="1">SUM(K140:N140)</f>
        <v>3432.5545498823285</v>
      </c>
      <c r="P140" s="143">
        <f ca="1">+P30*Composting!K30</f>
        <v>0</v>
      </c>
      <c r="Q140" s="49">
        <f ca="1">+Q30*Composting!L30</f>
        <v>0</v>
      </c>
      <c r="R140" s="49">
        <f ca="1">+R30*Composting!M30</f>
        <v>0</v>
      </c>
      <c r="S140" s="49">
        <f ca="1">+S30*Composting!N30</f>
        <v>0</v>
      </c>
      <c r="T140" s="49">
        <f ca="1">+T30*Composting!O30</f>
        <v>0</v>
      </c>
      <c r="U140" s="144">
        <f t="shared" ca="1" si="60"/>
        <v>0</v>
      </c>
      <c r="V140" s="49">
        <f ca="1">+V30*Composting!P30</f>
        <v>0</v>
      </c>
      <c r="W140" s="49">
        <f ca="1">+W30*Composting!Q30</f>
        <v>0</v>
      </c>
      <c r="X140" s="49">
        <f ca="1">+X30*Composting!R30</f>
        <v>0</v>
      </c>
    </row>
    <row r="141" spans="2:24" s="43" customFormat="1" x14ac:dyDescent="0.5">
      <c r="B141" s="44" t="s">
        <v>36</v>
      </c>
      <c r="E141" s="44"/>
      <c r="F141" s="44"/>
      <c r="G141" s="297"/>
      <c r="H141" s="103">
        <f ca="1">SUM(H139:H140)</f>
        <v>718119.30523947161</v>
      </c>
      <c r="I141" s="308">
        <f t="shared" ca="1" si="59"/>
        <v>0.14561670351967423</v>
      </c>
      <c r="J141" s="113"/>
      <c r="K141" s="152">
        <f t="shared" ref="K141:R141" ca="1" si="61">SUM(K139:K140)</f>
        <v>3432.5545498823285</v>
      </c>
      <c r="L141" s="152">
        <f t="shared" ca="1" si="61"/>
        <v>714686.7506895893</v>
      </c>
      <c r="M141" s="152">
        <f ca="1">SUM(M139:M140)</f>
        <v>0</v>
      </c>
      <c r="N141" s="152">
        <f ca="1">SUM(N139:N140)</f>
        <v>0</v>
      </c>
      <c r="O141" s="137">
        <f t="shared" ca="1" si="61"/>
        <v>718119.30523947161</v>
      </c>
      <c r="P141" s="151">
        <f t="shared" ca="1" si="61"/>
        <v>0</v>
      </c>
      <c r="Q141" s="152">
        <f t="shared" ca="1" si="61"/>
        <v>0</v>
      </c>
      <c r="R141" s="152">
        <f t="shared" ca="1" si="61"/>
        <v>0</v>
      </c>
      <c r="S141" s="152">
        <f ca="1">SUM(S139:S140)</f>
        <v>0</v>
      </c>
      <c r="T141" s="152">
        <f t="shared" ref="T141:X141" ca="1" si="62">SUM(T139:T140)</f>
        <v>0</v>
      </c>
      <c r="U141" s="137">
        <f t="shared" ca="1" si="62"/>
        <v>0</v>
      </c>
      <c r="V141" s="152">
        <f t="shared" ca="1" si="62"/>
        <v>0</v>
      </c>
      <c r="W141" s="152">
        <f t="shared" ca="1" si="62"/>
        <v>0</v>
      </c>
      <c r="X141" s="152">
        <f t="shared" ca="1" si="62"/>
        <v>0</v>
      </c>
    </row>
    <row r="142" spans="2:24" s="1" customFormat="1" ht="7.1" customHeight="1" x14ac:dyDescent="0.5">
      <c r="B142" s="3"/>
      <c r="G142" s="295"/>
      <c r="H142" s="100"/>
      <c r="I142" s="100"/>
      <c r="J142" s="112"/>
      <c r="K142" s="74"/>
      <c r="L142" s="74"/>
      <c r="M142" s="74"/>
      <c r="N142" s="74"/>
      <c r="O142" s="137"/>
      <c r="P142" s="136"/>
      <c r="Q142" s="74"/>
      <c r="R142" s="74"/>
      <c r="S142" s="74"/>
      <c r="T142" s="74"/>
      <c r="U142" s="137"/>
      <c r="V142" s="74"/>
      <c r="W142" s="74"/>
      <c r="X142" s="74"/>
    </row>
    <row r="143" spans="2:24" s="1" customFormat="1" x14ac:dyDescent="0.5">
      <c r="B143" s="7" t="s">
        <v>10</v>
      </c>
      <c r="C143" s="9"/>
      <c r="D143" s="9"/>
      <c r="E143" s="9"/>
      <c r="F143" s="9"/>
      <c r="G143" s="294"/>
      <c r="H143" s="105"/>
      <c r="I143" s="105"/>
      <c r="J143" s="112"/>
      <c r="K143" s="140"/>
      <c r="L143" s="140"/>
      <c r="M143" s="140"/>
      <c r="N143" s="140"/>
      <c r="O143" s="141"/>
      <c r="P143" s="139"/>
      <c r="Q143" s="140"/>
      <c r="R143" s="140"/>
      <c r="S143" s="140"/>
      <c r="T143" s="140"/>
      <c r="U143" s="141"/>
      <c r="V143" s="140"/>
      <c r="W143" s="140"/>
      <c r="X143" s="140"/>
    </row>
    <row r="144" spans="2:24" s="1" customFormat="1" x14ac:dyDescent="0.5">
      <c r="B144" s="2" t="s">
        <v>49</v>
      </c>
      <c r="G144" s="293"/>
      <c r="H144" s="99">
        <f ca="1">+SUM(O144,U144:X144)</f>
        <v>85332.467573022062</v>
      </c>
      <c r="I144" s="305">
        <f t="shared" ref="I144:I146" ca="1" si="63">H144/$H$60</f>
        <v>1.7303298408109666E-2</v>
      </c>
      <c r="J144" s="112"/>
      <c r="K144" s="74">
        <f ca="1">+K34*Composting!G33</f>
        <v>85332.467573022062</v>
      </c>
      <c r="L144" s="74">
        <f ca="1">+L34*Composting!H33</f>
        <v>0</v>
      </c>
      <c r="M144" s="74">
        <f ca="1">+M34*Composting!I33</f>
        <v>0</v>
      </c>
      <c r="N144" s="74">
        <f ca="1">+N34*Composting!J33</f>
        <v>0</v>
      </c>
      <c r="O144" s="137">
        <f ca="1">SUM(K144:N144)</f>
        <v>85332.467573022062</v>
      </c>
      <c r="P144" s="136">
        <f ca="1">+P34*Composting!K33</f>
        <v>0</v>
      </c>
      <c r="Q144" s="74">
        <f ca="1">+Q34*Composting!L33</f>
        <v>0</v>
      </c>
      <c r="R144" s="74">
        <f ca="1">+R34*Composting!M33</f>
        <v>0</v>
      </c>
      <c r="S144" s="74">
        <f ca="1">+S34*Composting!N33</f>
        <v>0</v>
      </c>
      <c r="T144" s="74">
        <f ca="1">+T34*Composting!O33</f>
        <v>0</v>
      </c>
      <c r="U144" s="137">
        <f t="shared" ref="U144:U145" ca="1" si="64">SUM(P144:T144)</f>
        <v>0</v>
      </c>
      <c r="V144" s="74">
        <f ca="1">+V34*Composting!P33</f>
        <v>0</v>
      </c>
      <c r="W144" s="74">
        <f ca="1">+W34*Composting!Q33</f>
        <v>0</v>
      </c>
      <c r="X144" s="74">
        <f ca="1">+X34*Composting!R33</f>
        <v>0</v>
      </c>
    </row>
    <row r="145" spans="2:24" s="1" customFormat="1" x14ac:dyDescent="0.5">
      <c r="B145" s="47" t="s">
        <v>7</v>
      </c>
      <c r="C145" s="48"/>
      <c r="D145" s="48"/>
      <c r="E145" s="48"/>
      <c r="F145" s="48"/>
      <c r="G145" s="293"/>
      <c r="H145" s="101">
        <f ca="1">+SUM(O145,U145:X145)</f>
        <v>196581.51822275502</v>
      </c>
      <c r="I145" s="307">
        <f t="shared" ca="1" si="63"/>
        <v>3.986183416548672E-2</v>
      </c>
      <c r="J145" s="112"/>
      <c r="K145" s="49">
        <f ca="1">+K35*Composting!G34</f>
        <v>165248.14155498869</v>
      </c>
      <c r="L145" s="49">
        <f ca="1">+L35*Composting!H34</f>
        <v>0</v>
      </c>
      <c r="M145" s="49">
        <f ca="1">+M35*Composting!I34</f>
        <v>0</v>
      </c>
      <c r="N145" s="49">
        <f ca="1">+N35*Composting!J34</f>
        <v>0</v>
      </c>
      <c r="O145" s="144">
        <f ca="1">SUM(K145:N145)</f>
        <v>165248.14155498869</v>
      </c>
      <c r="P145" s="143">
        <f ca="1">+P35*Composting!K34</f>
        <v>0</v>
      </c>
      <c r="Q145" s="49">
        <f ca="1">+Q35*Composting!L34</f>
        <v>0</v>
      </c>
      <c r="R145" s="49">
        <f ca="1">+R35*Composting!M34</f>
        <v>0</v>
      </c>
      <c r="S145" s="49">
        <f ca="1">+S35*Composting!N34</f>
        <v>0</v>
      </c>
      <c r="T145" s="49">
        <f ca="1">+T35*Composting!O34</f>
        <v>0</v>
      </c>
      <c r="U145" s="144">
        <f t="shared" ca="1" si="64"/>
        <v>0</v>
      </c>
      <c r="V145" s="49">
        <f ca="1">+V35*Composting!P34</f>
        <v>31333.376667766333</v>
      </c>
      <c r="W145" s="49">
        <f ca="1">+W35*Composting!Q34</f>
        <v>0</v>
      </c>
      <c r="X145" s="49">
        <f ca="1">+X35*Composting!R34</f>
        <v>0</v>
      </c>
    </row>
    <row r="146" spans="2:24" s="43" customFormat="1" x14ac:dyDescent="0.5">
      <c r="B146" s="44" t="s">
        <v>57</v>
      </c>
      <c r="G146" s="294"/>
      <c r="H146" s="102">
        <f ca="1">SUM(H144:H145)</f>
        <v>281913.98579577706</v>
      </c>
      <c r="I146" s="308">
        <f t="shared" ca="1" si="63"/>
        <v>5.7165132573596379E-2</v>
      </c>
      <c r="J146" s="113"/>
      <c r="K146" s="152">
        <f t="shared" ref="K146:R146" ca="1" si="65">SUM(K144:K145)</f>
        <v>250580.60912801075</v>
      </c>
      <c r="L146" s="152">
        <f t="shared" ca="1" si="65"/>
        <v>0</v>
      </c>
      <c r="M146" s="152">
        <f ca="1">SUM(M144:M145)</f>
        <v>0</v>
      </c>
      <c r="N146" s="152">
        <f ca="1">SUM(N144:N145)</f>
        <v>0</v>
      </c>
      <c r="O146" s="137">
        <f t="shared" ca="1" si="65"/>
        <v>250580.60912801075</v>
      </c>
      <c r="P146" s="151">
        <f t="shared" ca="1" si="65"/>
        <v>0</v>
      </c>
      <c r="Q146" s="152">
        <f t="shared" ca="1" si="65"/>
        <v>0</v>
      </c>
      <c r="R146" s="152">
        <f t="shared" ca="1" si="65"/>
        <v>0</v>
      </c>
      <c r="S146" s="152">
        <f ca="1">SUM(S144:S145)</f>
        <v>0</v>
      </c>
      <c r="T146" s="152">
        <f t="shared" ref="T146:X146" ca="1" si="66">SUM(T144:T145)</f>
        <v>0</v>
      </c>
      <c r="U146" s="137">
        <f t="shared" ca="1" si="66"/>
        <v>0</v>
      </c>
      <c r="V146" s="152">
        <f t="shared" ca="1" si="66"/>
        <v>31333.376667766333</v>
      </c>
      <c r="W146" s="152">
        <f t="shared" ca="1" si="66"/>
        <v>0</v>
      </c>
      <c r="X146" s="152">
        <f t="shared" ca="1" si="66"/>
        <v>0</v>
      </c>
    </row>
    <row r="147" spans="2:24" s="1" customFormat="1" ht="7.1" customHeight="1" x14ac:dyDescent="0.5">
      <c r="B147" s="3"/>
      <c r="G147" s="298"/>
      <c r="H147" s="100"/>
      <c r="I147" s="100"/>
      <c r="J147" s="112"/>
      <c r="K147" s="74"/>
      <c r="L147" s="74"/>
      <c r="M147" s="74"/>
      <c r="N147" s="74"/>
      <c r="O147" s="137"/>
      <c r="P147" s="136"/>
      <c r="Q147" s="74"/>
      <c r="R147" s="74"/>
      <c r="S147" s="74"/>
      <c r="T147" s="74"/>
      <c r="U147" s="137"/>
      <c r="V147" s="74"/>
      <c r="W147" s="74"/>
      <c r="X147" s="74"/>
    </row>
    <row r="148" spans="2:24" s="1" customFormat="1" x14ac:dyDescent="0.5">
      <c r="B148" s="7" t="s">
        <v>24</v>
      </c>
      <c r="C148" s="9"/>
      <c r="D148" s="9"/>
      <c r="E148" s="9"/>
      <c r="F148" s="9"/>
      <c r="G148" s="294"/>
      <c r="H148" s="107"/>
      <c r="I148" s="107"/>
      <c r="J148" s="112"/>
      <c r="K148" s="140"/>
      <c r="L148" s="140"/>
      <c r="M148" s="140"/>
      <c r="N148" s="140"/>
      <c r="O148" s="141"/>
      <c r="P148" s="139"/>
      <c r="Q148" s="140"/>
      <c r="R148" s="140"/>
      <c r="S148" s="140"/>
      <c r="T148" s="140"/>
      <c r="U148" s="141"/>
      <c r="V148" s="140"/>
      <c r="W148" s="140"/>
      <c r="X148" s="140"/>
    </row>
    <row r="149" spans="2:24" s="1" customFormat="1" x14ac:dyDescent="0.5">
      <c r="B149" s="2" t="s">
        <v>12</v>
      </c>
      <c r="G149" s="296"/>
      <c r="H149" s="100"/>
      <c r="I149" s="100"/>
      <c r="J149" s="112"/>
      <c r="K149" s="74"/>
      <c r="L149" s="74"/>
      <c r="M149" s="74"/>
      <c r="N149" s="74"/>
      <c r="O149" s="137"/>
      <c r="P149" s="136"/>
      <c r="Q149" s="74"/>
      <c r="R149" s="74"/>
      <c r="S149" s="74"/>
      <c r="T149" s="74"/>
      <c r="U149" s="137"/>
      <c r="V149" s="74"/>
      <c r="W149" s="74"/>
      <c r="X149" s="74"/>
    </row>
    <row r="150" spans="2:24" s="1" customFormat="1" x14ac:dyDescent="0.5">
      <c r="B150" s="3"/>
      <c r="C150" s="2" t="s">
        <v>13</v>
      </c>
      <c r="D150" s="2"/>
      <c r="F150" s="2"/>
      <c r="G150" s="293"/>
      <c r="H150" s="99">
        <f ca="1">+SUM(O150,U150:X150)</f>
        <v>116023.26562759528</v>
      </c>
      <c r="I150" s="305">
        <f ca="1">H150/$H$60</f>
        <v>2.3526627607712052E-2</v>
      </c>
      <c r="J150" s="112"/>
      <c r="K150" s="74">
        <f ca="1">+K40*Composting!G38</f>
        <v>16610.008617112278</v>
      </c>
      <c r="L150" s="74">
        <f ca="1">+L40*Composting!H38</f>
        <v>0</v>
      </c>
      <c r="M150" s="74">
        <f ca="1">+M40*Composting!I38</f>
        <v>49402.866792616725</v>
      </c>
      <c r="N150" s="74">
        <f ca="1">+N40*Composting!J38</f>
        <v>50010.390217866261</v>
      </c>
      <c r="O150" s="137">
        <f ca="1">SUM(K150:N150)</f>
        <v>116023.26562759528</v>
      </c>
      <c r="P150" s="136">
        <f ca="1">+P40*Composting!K38</f>
        <v>0</v>
      </c>
      <c r="Q150" s="74">
        <f ca="1">+Q40*Composting!L38</f>
        <v>0</v>
      </c>
      <c r="R150" s="74">
        <f ca="1">+R40*Composting!M38</f>
        <v>0</v>
      </c>
      <c r="S150" s="74">
        <f ca="1">+S40*Composting!N38</f>
        <v>0</v>
      </c>
      <c r="T150" s="74">
        <f ca="1">+T40*Composting!O38</f>
        <v>0</v>
      </c>
      <c r="U150" s="137">
        <f ca="1">SUM(P150:T150)</f>
        <v>0</v>
      </c>
      <c r="V150" s="74">
        <f ca="1">+V40*Composting!P38</f>
        <v>0</v>
      </c>
      <c r="W150" s="74">
        <f ca="1">+W40*Composting!Q38</f>
        <v>0</v>
      </c>
      <c r="X150" s="74">
        <f ca="1">+X40*Composting!R38</f>
        <v>0</v>
      </c>
    </row>
    <row r="151" spans="2:24" s="1" customFormat="1" x14ac:dyDescent="0.5">
      <c r="B151" s="1" t="s">
        <v>14</v>
      </c>
      <c r="G151" s="295"/>
      <c r="H151" s="100"/>
      <c r="I151" s="100"/>
      <c r="J151" s="112"/>
      <c r="K151" s="74"/>
      <c r="L151" s="74"/>
      <c r="M151" s="74"/>
      <c r="N151" s="74"/>
      <c r="O151" s="137"/>
      <c r="P151" s="136"/>
      <c r="Q151" s="74"/>
      <c r="R151" s="74"/>
      <c r="S151" s="74"/>
      <c r="T151" s="74"/>
      <c r="U151" s="137"/>
      <c r="V151" s="74"/>
      <c r="W151" s="74"/>
      <c r="X151" s="74"/>
    </row>
    <row r="152" spans="2:24" s="1" customFormat="1" x14ac:dyDescent="0.5">
      <c r="C152" s="2" t="s">
        <v>15</v>
      </c>
      <c r="G152" s="293"/>
      <c r="H152" s="99">
        <f ca="1">+SUM(O152,U152:X152)</f>
        <v>18609.734986261908</v>
      </c>
      <c r="I152" s="305">
        <f ca="1">H152/$H$60</f>
        <v>3.773590602985588E-3</v>
      </c>
      <c r="J152" s="112"/>
      <c r="K152" s="74">
        <f ca="1">+K42*Composting!G40</f>
        <v>0</v>
      </c>
      <c r="L152" s="74">
        <f ca="1">+L42*Composting!H40</f>
        <v>0</v>
      </c>
      <c r="M152" s="74">
        <f ca="1">+M42*Composting!I40</f>
        <v>0</v>
      </c>
      <c r="N152" s="74">
        <f ca="1">+N42*Composting!J40</f>
        <v>0</v>
      </c>
      <c r="O152" s="137">
        <f ca="1">SUM(K152:N152)</f>
        <v>0</v>
      </c>
      <c r="P152" s="136">
        <f ca="1">+P42*Composting!K40</f>
        <v>0</v>
      </c>
      <c r="Q152" s="74">
        <f ca="1">+Q42*Composting!L40</f>
        <v>0</v>
      </c>
      <c r="R152" s="74">
        <f ca="1">+R42*Composting!M40</f>
        <v>0</v>
      </c>
      <c r="S152" s="74">
        <f ca="1">+S42*Composting!N40</f>
        <v>0</v>
      </c>
      <c r="T152" s="74">
        <f ca="1">+T42*Composting!O40</f>
        <v>0</v>
      </c>
      <c r="U152" s="137">
        <f t="shared" ref="U152:U155" ca="1" si="67">SUM(P152:T152)</f>
        <v>0</v>
      </c>
      <c r="V152" s="74">
        <f ca="1">+V42*Composting!P40</f>
        <v>18609.734986261908</v>
      </c>
      <c r="W152" s="74">
        <f ca="1">+W42*Composting!Q40</f>
        <v>0</v>
      </c>
      <c r="X152" s="74">
        <f ca="1">+X42*Composting!R40</f>
        <v>0</v>
      </c>
    </row>
    <row r="153" spans="2:24" s="1" customFormat="1" x14ac:dyDescent="0.5">
      <c r="C153" s="2" t="s">
        <v>16</v>
      </c>
      <c r="G153" s="293"/>
      <c r="H153" s="99">
        <f ca="1">+SUM(O153,U153:X153)</f>
        <v>6706.6361946405059</v>
      </c>
      <c r="I153" s="305">
        <f t="shared" ref="I153:I156" ca="1" si="68">H153/$H$60</f>
        <v>1.3599387277906643E-3</v>
      </c>
      <c r="J153" s="112"/>
      <c r="K153" s="74">
        <f ca="1">+K43*Composting!G41</f>
        <v>1051.2728861045302</v>
      </c>
      <c r="L153" s="74">
        <f ca="1">+L43*Composting!H41</f>
        <v>1051.2728861045302</v>
      </c>
      <c r="M153" s="74">
        <f ca="1">+M43*Composting!I41</f>
        <v>0</v>
      </c>
      <c r="N153" s="74">
        <f ca="1">+N43*Composting!J41</f>
        <v>0</v>
      </c>
      <c r="O153" s="137">
        <f ca="1">SUM(K153:N153)</f>
        <v>2102.5457722090605</v>
      </c>
      <c r="P153" s="136">
        <f ca="1">+P43*Composting!K41</f>
        <v>0</v>
      </c>
      <c r="Q153" s="74">
        <f ca="1">+Q43*Composting!L41</f>
        <v>0</v>
      </c>
      <c r="R153" s="74">
        <f ca="1">+R43*Composting!M41</f>
        <v>0</v>
      </c>
      <c r="S153" s="74">
        <f ca="1">+S43*Composting!N41</f>
        <v>0</v>
      </c>
      <c r="T153" s="74">
        <f ca="1">+T43*Composting!O41</f>
        <v>0</v>
      </c>
      <c r="U153" s="137">
        <f t="shared" ca="1" si="67"/>
        <v>0</v>
      </c>
      <c r="V153" s="74">
        <f ca="1">+V43*Composting!P41</f>
        <v>4604.0904224314454</v>
      </c>
      <c r="W153" s="74">
        <f ca="1">+W43*Composting!Q41</f>
        <v>0</v>
      </c>
      <c r="X153" s="74">
        <f ca="1">+X43*Composting!R41</f>
        <v>0</v>
      </c>
    </row>
    <row r="154" spans="2:24" s="1" customFormat="1" x14ac:dyDescent="0.5">
      <c r="C154" s="2" t="s">
        <v>17</v>
      </c>
      <c r="G154" s="293"/>
      <c r="H154" s="99">
        <f ca="1">+SUM(O154,U154:X154)</f>
        <v>0</v>
      </c>
      <c r="I154" s="305">
        <f t="shared" ca="1" si="68"/>
        <v>0</v>
      </c>
      <c r="J154" s="112"/>
      <c r="K154" s="74">
        <f ca="1">+K44*Composting!G42</f>
        <v>0</v>
      </c>
      <c r="L154" s="74">
        <f ca="1">+L44*Composting!H42</f>
        <v>0</v>
      </c>
      <c r="M154" s="74">
        <f ca="1">+M44*Composting!I42</f>
        <v>0</v>
      </c>
      <c r="N154" s="74">
        <f ca="1">+N44*Composting!J42</f>
        <v>0</v>
      </c>
      <c r="O154" s="137">
        <f ca="1">SUM(K154:N154)</f>
        <v>0</v>
      </c>
      <c r="P154" s="136">
        <f ca="1">+P44*Composting!K42</f>
        <v>0</v>
      </c>
      <c r="Q154" s="74">
        <f ca="1">+Q44*Composting!L42</f>
        <v>0</v>
      </c>
      <c r="R154" s="74">
        <f ca="1">+R44*Composting!M42</f>
        <v>0</v>
      </c>
      <c r="S154" s="74">
        <f ca="1">+S44*Composting!N42</f>
        <v>0</v>
      </c>
      <c r="T154" s="74">
        <f ca="1">+T44*Composting!O42</f>
        <v>0</v>
      </c>
      <c r="U154" s="137">
        <f t="shared" ca="1" si="67"/>
        <v>0</v>
      </c>
      <c r="V154" s="74">
        <f ca="1">+V44*Composting!P42</f>
        <v>0</v>
      </c>
      <c r="W154" s="74">
        <f ca="1">+W44*Composting!Q42</f>
        <v>0</v>
      </c>
      <c r="X154" s="74">
        <f ca="1">+X44*Composting!R42</f>
        <v>0</v>
      </c>
    </row>
    <row r="155" spans="2:24" s="1" customFormat="1" x14ac:dyDescent="0.5">
      <c r="B155" s="98"/>
      <c r="C155" s="47" t="s">
        <v>18</v>
      </c>
      <c r="D155" s="48"/>
      <c r="E155" s="48"/>
      <c r="F155" s="48"/>
      <c r="G155" s="293"/>
      <c r="H155" s="101">
        <f ca="1">+SUM(O155,U155:X155)</f>
        <v>4504.4430339756536</v>
      </c>
      <c r="I155" s="307">
        <f t="shared" ca="1" si="68"/>
        <v>9.1338882134767835E-4</v>
      </c>
      <c r="J155" s="112"/>
      <c r="K155" s="49">
        <f ca="1">+K45*Composting!G43</f>
        <v>0</v>
      </c>
      <c r="L155" s="49">
        <f ca="1">+L45*Composting!H43</f>
        <v>0</v>
      </c>
      <c r="M155" s="49">
        <f ca="1">+M45*Composting!I43</f>
        <v>0</v>
      </c>
      <c r="N155" s="49">
        <f ca="1">+N45*Composting!J43</f>
        <v>0</v>
      </c>
      <c r="O155" s="144">
        <f ca="1">SUM(K155:N155)</f>
        <v>0</v>
      </c>
      <c r="P155" s="143">
        <f ca="1">+P45*Composting!K43</f>
        <v>0</v>
      </c>
      <c r="Q155" s="49">
        <f ca="1">+Q45*Composting!L43</f>
        <v>0</v>
      </c>
      <c r="R155" s="49">
        <f ca="1">+R45*Composting!M43</f>
        <v>0</v>
      </c>
      <c r="S155" s="49">
        <f ca="1">+S45*Composting!N43</f>
        <v>0</v>
      </c>
      <c r="T155" s="49">
        <f ca="1">+T45*Composting!O43</f>
        <v>0</v>
      </c>
      <c r="U155" s="144">
        <f t="shared" ca="1" si="67"/>
        <v>0</v>
      </c>
      <c r="V155" s="49">
        <f ca="1">+V45*Composting!P43</f>
        <v>0</v>
      </c>
      <c r="W155" s="49">
        <f ca="1">+W45*Composting!Q43</f>
        <v>0</v>
      </c>
      <c r="X155" s="49">
        <f ca="1">+X45*Composting!R43</f>
        <v>4504.4430339756536</v>
      </c>
    </row>
    <row r="156" spans="2:24" s="43" customFormat="1" x14ac:dyDescent="0.5">
      <c r="B156" s="3" t="s">
        <v>37</v>
      </c>
      <c r="C156" s="44"/>
      <c r="G156" s="294"/>
      <c r="H156" s="102">
        <f ca="1">+SUM(H150,H152:H155)</f>
        <v>145844.07984247335</v>
      </c>
      <c r="I156" s="308">
        <f t="shared" ca="1" si="68"/>
        <v>2.9573545759835985E-2</v>
      </c>
      <c r="J156" s="113"/>
      <c r="K156" s="152">
        <f ca="1">+SUM(K150,K152:K155)</f>
        <v>17661.281503216807</v>
      </c>
      <c r="L156" s="152">
        <f ca="1">+SUM(L150,L152:L155)</f>
        <v>1051.2728861045302</v>
      </c>
      <c r="M156" s="152">
        <f ca="1">+SUM(M150,M152:M155)</f>
        <v>49402.866792616725</v>
      </c>
      <c r="N156" s="152">
        <f ca="1">+SUM(N150,N152:N155)</f>
        <v>50010.390217866261</v>
      </c>
      <c r="O156" s="137">
        <f ca="1">+SUM(O150,O152:O155)</f>
        <v>118125.81139980434</v>
      </c>
      <c r="P156" s="152">
        <f t="shared" ref="P156:R156" ca="1" si="69">+SUM(P150,P152:P155)</f>
        <v>0</v>
      </c>
      <c r="Q156" s="152">
        <f t="shared" ca="1" si="69"/>
        <v>0</v>
      </c>
      <c r="R156" s="152">
        <f t="shared" ca="1" si="69"/>
        <v>0</v>
      </c>
      <c r="S156" s="152">
        <f ca="1">+SUM(S150,S152:S155)</f>
        <v>0</v>
      </c>
      <c r="T156" s="152">
        <f t="shared" ref="T156" ca="1" si="70">+SUM(T150,T152:T155)</f>
        <v>0</v>
      </c>
      <c r="U156" s="137">
        <f ca="1">+SUM(U150,U152:U155)</f>
        <v>0</v>
      </c>
      <c r="V156" s="152">
        <f t="shared" ref="V156:X156" ca="1" si="71">+SUM(V150,V152:V155)</f>
        <v>23213.825408693352</v>
      </c>
      <c r="W156" s="152">
        <f t="shared" ca="1" si="71"/>
        <v>0</v>
      </c>
      <c r="X156" s="152">
        <f t="shared" ca="1" si="71"/>
        <v>4504.4430339756536</v>
      </c>
    </row>
    <row r="157" spans="2:24" s="1" customFormat="1" ht="7.1" customHeight="1" x14ac:dyDescent="0.5">
      <c r="B157" s="3"/>
      <c r="G157" s="295"/>
      <c r="H157" s="100"/>
      <c r="I157" s="100"/>
      <c r="J157" s="112"/>
      <c r="K157" s="74"/>
      <c r="L157" s="74"/>
      <c r="M157" s="74"/>
      <c r="N157" s="74"/>
      <c r="O157" s="137"/>
      <c r="P157" s="136"/>
      <c r="Q157" s="74"/>
      <c r="R157" s="74"/>
      <c r="S157" s="74"/>
      <c r="T157" s="74"/>
      <c r="U157" s="137"/>
      <c r="V157" s="74"/>
      <c r="W157" s="74"/>
      <c r="X157" s="74"/>
    </row>
    <row r="158" spans="2:24" s="1" customFormat="1" x14ac:dyDescent="0.5">
      <c r="B158" s="10" t="s">
        <v>19</v>
      </c>
      <c r="C158" s="9"/>
      <c r="D158" s="9"/>
      <c r="E158" s="11"/>
      <c r="F158" s="11"/>
      <c r="G158" s="294"/>
      <c r="H158" s="105"/>
      <c r="I158" s="105"/>
      <c r="J158" s="112"/>
      <c r="K158" s="140"/>
      <c r="L158" s="140"/>
      <c r="M158" s="140"/>
      <c r="N158" s="140"/>
      <c r="O158" s="141"/>
      <c r="P158" s="139"/>
      <c r="Q158" s="140"/>
      <c r="R158" s="140"/>
      <c r="S158" s="140"/>
      <c r="T158" s="140"/>
      <c r="U158" s="141"/>
      <c r="V158" s="140"/>
      <c r="W158" s="140"/>
      <c r="X158" s="140"/>
    </row>
    <row r="159" spans="2:24" s="1" customFormat="1" x14ac:dyDescent="0.5">
      <c r="B159" s="2" t="s">
        <v>19</v>
      </c>
      <c r="E159" s="2"/>
      <c r="F159" s="2"/>
      <c r="G159" s="293"/>
      <c r="H159" s="99">
        <f ca="1">+SUM(O159,U159:X159)</f>
        <v>1270368.3352402239</v>
      </c>
      <c r="I159" s="305">
        <f ca="1">H159/$H$60</f>
        <v>0.25759904779578396</v>
      </c>
      <c r="J159" s="112"/>
      <c r="K159" s="74">
        <f ca="1">+K49*Composting!G46</f>
        <v>0</v>
      </c>
      <c r="L159" s="74">
        <f ca="1">+L49*Composting!H46</f>
        <v>1270368.3352402239</v>
      </c>
      <c r="M159" s="74">
        <f ca="1">+M49*Composting!I46</f>
        <v>0</v>
      </c>
      <c r="N159" s="74">
        <f ca="1">+N49*Composting!J46</f>
        <v>0</v>
      </c>
      <c r="O159" s="137">
        <f ca="1">SUM(K159:N159)</f>
        <v>1270368.3352402239</v>
      </c>
      <c r="P159" s="136">
        <f ca="1">+P49*Composting!K46</f>
        <v>0</v>
      </c>
      <c r="Q159" s="74">
        <f ca="1">+Q49*Composting!L46</f>
        <v>0</v>
      </c>
      <c r="R159" s="74">
        <f ca="1">+R49*Composting!M46</f>
        <v>0</v>
      </c>
      <c r="S159" s="74">
        <f ca="1">+S49*Composting!N46</f>
        <v>0</v>
      </c>
      <c r="T159" s="74">
        <f ca="1">+T49*Composting!O46</f>
        <v>0</v>
      </c>
      <c r="U159" s="137">
        <f ca="1">SUM(P159:T159)</f>
        <v>0</v>
      </c>
      <c r="V159" s="74">
        <f ca="1">+V49*Composting!P46</f>
        <v>0</v>
      </c>
      <c r="W159" s="74">
        <f ca="1">+W49*Composting!Q46</f>
        <v>0</v>
      </c>
      <c r="X159" s="74">
        <f ca="1">+X49*Composting!R46</f>
        <v>0</v>
      </c>
    </row>
    <row r="160" spans="2:24" s="1" customFormat="1" ht="7.1" customHeight="1" x14ac:dyDescent="0.5">
      <c r="B160" s="2"/>
      <c r="E160" s="2"/>
      <c r="F160" s="2"/>
      <c r="G160" s="295"/>
      <c r="H160" s="100"/>
      <c r="I160" s="100"/>
      <c r="J160" s="112"/>
      <c r="K160" s="74"/>
      <c r="L160" s="74"/>
      <c r="M160" s="74"/>
      <c r="N160" s="74"/>
      <c r="O160" s="137"/>
      <c r="P160" s="136"/>
      <c r="Q160" s="74"/>
      <c r="R160" s="74"/>
      <c r="S160" s="74"/>
      <c r="T160" s="74"/>
      <c r="U160" s="137"/>
      <c r="V160" s="74"/>
      <c r="W160" s="74"/>
      <c r="X160" s="74"/>
    </row>
    <row r="161" spans="2:24" s="1" customFormat="1" x14ac:dyDescent="0.5">
      <c r="B161" s="10" t="s">
        <v>25</v>
      </c>
      <c r="C161" s="9"/>
      <c r="D161" s="9"/>
      <c r="E161" s="9"/>
      <c r="F161" s="9"/>
      <c r="G161" s="294"/>
      <c r="H161" s="105"/>
      <c r="I161" s="105"/>
      <c r="J161" s="112"/>
      <c r="K161" s="140"/>
      <c r="L161" s="140"/>
      <c r="M161" s="140"/>
      <c r="N161" s="140"/>
      <c r="O161" s="141"/>
      <c r="P161" s="139"/>
      <c r="Q161" s="140"/>
      <c r="R161" s="140"/>
      <c r="S161" s="140"/>
      <c r="T161" s="140"/>
      <c r="U161" s="141"/>
      <c r="V161" s="140"/>
      <c r="W161" s="140"/>
      <c r="X161" s="140"/>
    </row>
    <row r="162" spans="2:24" s="1" customFormat="1" x14ac:dyDescent="0.5">
      <c r="B162" s="2" t="s">
        <v>25</v>
      </c>
      <c r="G162" s="293"/>
      <c r="H162" s="99">
        <f ca="1">+SUM(O162,U162:X162)</f>
        <v>34366.202185367489</v>
      </c>
      <c r="I162" s="305">
        <f ca="1">H162/$H$60</f>
        <v>6.9686095864740115E-3</v>
      </c>
      <c r="J162" s="112"/>
      <c r="K162" s="74">
        <f ca="1">+K52*Composting!G49</f>
        <v>34366.202185367489</v>
      </c>
      <c r="L162" s="74">
        <f ca="1">+L52*Composting!H49</f>
        <v>0</v>
      </c>
      <c r="M162" s="74">
        <f ca="1">+M52*Composting!I49</f>
        <v>0</v>
      </c>
      <c r="N162" s="74">
        <f ca="1">+N52*Composting!J49</f>
        <v>0</v>
      </c>
      <c r="O162" s="137">
        <f ca="1">SUM(K162:N162)</f>
        <v>34366.202185367489</v>
      </c>
      <c r="P162" s="136">
        <f ca="1">+P52*Composting!K49</f>
        <v>0</v>
      </c>
      <c r="Q162" s="74">
        <f ca="1">+Q52*Composting!L49</f>
        <v>0</v>
      </c>
      <c r="R162" s="74">
        <f ca="1">+R52*Composting!M49</f>
        <v>0</v>
      </c>
      <c r="S162" s="74">
        <f ca="1">+S52*Composting!N49</f>
        <v>0</v>
      </c>
      <c r="T162" s="74">
        <f ca="1">+T52*Composting!O49</f>
        <v>0</v>
      </c>
      <c r="U162" s="137">
        <f ca="1">SUM(P162:T162)</f>
        <v>0</v>
      </c>
      <c r="V162" s="74">
        <f ca="1">+V52*Composting!P49</f>
        <v>0</v>
      </c>
      <c r="W162" s="74">
        <f ca="1">+W52*Composting!Q49</f>
        <v>0</v>
      </c>
      <c r="X162" s="74">
        <f ca="1">+X52*Composting!R49</f>
        <v>0</v>
      </c>
    </row>
    <row r="163" spans="2:24" s="1" customFormat="1" ht="7.1" customHeight="1" x14ac:dyDescent="0.5">
      <c r="B163" s="2"/>
      <c r="G163" s="295"/>
      <c r="H163" s="100"/>
      <c r="I163" s="100"/>
      <c r="J163" s="112"/>
      <c r="K163" s="74"/>
      <c r="L163" s="74"/>
      <c r="M163" s="74"/>
      <c r="N163" s="74"/>
      <c r="O163" s="137"/>
      <c r="P163" s="136"/>
      <c r="Q163" s="74"/>
      <c r="R163" s="74"/>
      <c r="S163" s="74"/>
      <c r="T163" s="74"/>
      <c r="U163" s="137"/>
      <c r="V163" s="74"/>
      <c r="W163" s="74"/>
      <c r="X163" s="74"/>
    </row>
    <row r="164" spans="2:24" s="1" customFormat="1" x14ac:dyDescent="0.5">
      <c r="B164" s="10" t="s">
        <v>4</v>
      </c>
      <c r="C164" s="9"/>
      <c r="D164" s="9"/>
      <c r="E164" s="9"/>
      <c r="F164" s="9"/>
      <c r="G164" s="294"/>
      <c r="H164" s="105"/>
      <c r="I164" s="105"/>
      <c r="J164" s="112"/>
      <c r="K164" s="140"/>
      <c r="L164" s="140"/>
      <c r="M164" s="140"/>
      <c r="N164" s="140"/>
      <c r="O164" s="141"/>
      <c r="P164" s="139"/>
      <c r="Q164" s="140"/>
      <c r="R164" s="140"/>
      <c r="S164" s="140"/>
      <c r="T164" s="140"/>
      <c r="U164" s="141"/>
      <c r="V164" s="140"/>
      <c r="W164" s="140"/>
      <c r="X164" s="140"/>
    </row>
    <row r="165" spans="2:24" s="1" customFormat="1" x14ac:dyDescent="0.5">
      <c r="B165" s="2" t="s">
        <v>20</v>
      </c>
      <c r="E165" s="2"/>
      <c r="F165" s="2"/>
      <c r="G165" s="293"/>
      <c r="H165" s="99">
        <f ca="1">+SUM(O165,U165:X165)</f>
        <v>13486.56330926304</v>
      </c>
      <c r="I165" s="305">
        <f ca="1">H165/$H$60</f>
        <v>2.734739028147113E-3</v>
      </c>
      <c r="J165" s="112"/>
      <c r="K165" s="74">
        <f ca="1">+K55*Composting!G52</f>
        <v>9965.2874797207733</v>
      </c>
      <c r="L165" s="74">
        <f ca="1">+L55*Composting!H52</f>
        <v>2936.0667635377567</v>
      </c>
      <c r="M165" s="74">
        <f ca="1">+M55*Composting!I52</f>
        <v>0</v>
      </c>
      <c r="N165" s="74">
        <f ca="1">+N55*Composting!J52</f>
        <v>585.20906600450849</v>
      </c>
      <c r="O165" s="137">
        <f ca="1">SUM(K165:N165)</f>
        <v>13486.56330926304</v>
      </c>
      <c r="P165" s="136">
        <f ca="1">+P55*Composting!K52</f>
        <v>0</v>
      </c>
      <c r="Q165" s="74">
        <f ca="1">+Q55*Composting!L52</f>
        <v>0</v>
      </c>
      <c r="R165" s="74">
        <f ca="1">+R55*Composting!M52</f>
        <v>0</v>
      </c>
      <c r="S165" s="74">
        <f ca="1">+S55*Composting!N52</f>
        <v>0</v>
      </c>
      <c r="T165" s="74">
        <f ca="1">+T55*Composting!O52</f>
        <v>0</v>
      </c>
      <c r="U165" s="137">
        <f t="shared" ref="U165:U167" ca="1" si="72">SUM(P165:T165)</f>
        <v>0</v>
      </c>
      <c r="V165" s="74">
        <f ca="1">+V55*Composting!P52</f>
        <v>0</v>
      </c>
      <c r="W165" s="74">
        <f ca="1">+W55*Composting!Q52</f>
        <v>0</v>
      </c>
      <c r="X165" s="74">
        <f ca="1">+X55*Composting!R52</f>
        <v>0</v>
      </c>
    </row>
    <row r="166" spans="2:24" s="1" customFormat="1" x14ac:dyDescent="0.5">
      <c r="B166" s="2" t="s">
        <v>11</v>
      </c>
      <c r="E166" s="2"/>
      <c r="F166" s="2"/>
      <c r="G166" s="293"/>
      <c r="H166" s="99">
        <f ca="1">+SUM(O166,U166:X166)</f>
        <v>3219.7219334844385</v>
      </c>
      <c r="I166" s="305">
        <f ca="1">H166/$H$60</f>
        <v>6.528793903509525E-4</v>
      </c>
      <c r="J166" s="112"/>
      <c r="K166" s="74">
        <f ca="1">+K56*Composting!G53</f>
        <v>2471.6609915032441</v>
      </c>
      <c r="L166" s="74">
        <f ca="1">+L56*Composting!H53</f>
        <v>0</v>
      </c>
      <c r="M166" s="74">
        <f ca="1">+M56*Composting!I53</f>
        <v>0</v>
      </c>
      <c r="N166" s="74">
        <f ca="1">+N56*Composting!J53</f>
        <v>0</v>
      </c>
      <c r="O166" s="137">
        <f ca="1">SUM(K166:N166)</f>
        <v>2471.6609915032441</v>
      </c>
      <c r="P166" s="136">
        <f ca="1">+P56*Composting!K53</f>
        <v>0</v>
      </c>
      <c r="Q166" s="74">
        <f ca="1">+Q56*Composting!L53</f>
        <v>0</v>
      </c>
      <c r="R166" s="74">
        <f ca="1">+R56*Composting!M53</f>
        <v>0</v>
      </c>
      <c r="S166" s="74">
        <f ca="1">+S56*Composting!N53</f>
        <v>0</v>
      </c>
      <c r="T166" s="74">
        <f ca="1">+T56*Composting!O53</f>
        <v>0</v>
      </c>
      <c r="U166" s="137">
        <f t="shared" ca="1" si="72"/>
        <v>0</v>
      </c>
      <c r="V166" s="74">
        <f ca="1">+V56*Composting!P53</f>
        <v>748.06094198119456</v>
      </c>
      <c r="W166" s="74">
        <f ca="1">+W56*Composting!Q53</f>
        <v>0</v>
      </c>
      <c r="X166" s="74">
        <f ca="1">+X56*Composting!R53</f>
        <v>0</v>
      </c>
    </row>
    <row r="167" spans="2:24" s="1" customFormat="1" x14ac:dyDescent="0.5">
      <c r="B167" s="47" t="s">
        <v>55</v>
      </c>
      <c r="C167" s="48"/>
      <c r="D167" s="48"/>
      <c r="E167" s="47"/>
      <c r="F167" s="47"/>
      <c r="G167" s="293"/>
      <c r="H167" s="101">
        <f ca="1">+SUM(O167,U167:X167)</f>
        <v>18721.987629837357</v>
      </c>
      <c r="I167" s="307">
        <f t="shared" ref="I167:I170" ca="1" si="73">H167/$H$60</f>
        <v>3.7963526423842849E-3</v>
      </c>
      <c r="J167" s="112"/>
      <c r="K167" s="49">
        <f ca="1">+K57*Composting!G54</f>
        <v>0</v>
      </c>
      <c r="L167" s="49">
        <f ca="1">+L57*Composting!H54</f>
        <v>18721.987629837357</v>
      </c>
      <c r="M167" s="49">
        <f ca="1">+M57*Composting!I54</f>
        <v>0</v>
      </c>
      <c r="N167" s="49">
        <f ca="1">+N57*Composting!J54</f>
        <v>0</v>
      </c>
      <c r="O167" s="144">
        <f ca="1">SUM(K167:N167)</f>
        <v>18721.987629837357</v>
      </c>
      <c r="P167" s="143">
        <f ca="1">+P57*Composting!K54</f>
        <v>0</v>
      </c>
      <c r="Q167" s="49">
        <f ca="1">+Q57*Composting!L54</f>
        <v>0</v>
      </c>
      <c r="R167" s="49">
        <f ca="1">+R57*Composting!M54</f>
        <v>0</v>
      </c>
      <c r="S167" s="49">
        <f ca="1">+S57*Composting!N54</f>
        <v>0</v>
      </c>
      <c r="T167" s="49">
        <f ca="1">+T57*Composting!O54</f>
        <v>0</v>
      </c>
      <c r="U167" s="144">
        <f t="shared" ca="1" si="72"/>
        <v>0</v>
      </c>
      <c r="V167" s="49">
        <f ca="1">+V57*Composting!P54</f>
        <v>0</v>
      </c>
      <c r="W167" s="49">
        <f ca="1">+W57*Composting!Q54</f>
        <v>0</v>
      </c>
      <c r="X167" s="49">
        <f ca="1">+X57*Composting!R54</f>
        <v>0</v>
      </c>
    </row>
    <row r="168" spans="2:24" s="43" customFormat="1" x14ac:dyDescent="0.5">
      <c r="B168" s="44" t="s">
        <v>38</v>
      </c>
      <c r="E168" s="44"/>
      <c r="F168" s="44"/>
      <c r="G168" s="299"/>
      <c r="H168" s="104">
        <f ca="1">SUM(H165:H167)</f>
        <v>35428.272872584836</v>
      </c>
      <c r="I168" s="308">
        <f t="shared" ca="1" si="73"/>
        <v>7.1839710608823503E-3</v>
      </c>
      <c r="J168" s="113"/>
      <c r="K168" s="152">
        <f t="shared" ref="K168:R168" ca="1" si="74">SUM(K165:K167)</f>
        <v>12436.948471224017</v>
      </c>
      <c r="L168" s="152">
        <f t="shared" ca="1" si="74"/>
        <v>21658.054393375114</v>
      </c>
      <c r="M168" s="152">
        <f ca="1">SUM(M165:M167)</f>
        <v>0</v>
      </c>
      <c r="N168" s="152">
        <f ca="1">SUM(N165:N167)</f>
        <v>585.20906600450849</v>
      </c>
      <c r="O168" s="137">
        <f t="shared" ca="1" si="74"/>
        <v>34680.21193060364</v>
      </c>
      <c r="P168" s="151">
        <f t="shared" ca="1" si="74"/>
        <v>0</v>
      </c>
      <c r="Q168" s="152">
        <f t="shared" ca="1" si="74"/>
        <v>0</v>
      </c>
      <c r="R168" s="152">
        <f t="shared" ca="1" si="74"/>
        <v>0</v>
      </c>
      <c r="S168" s="152">
        <f ca="1">SUM(S165:S167)</f>
        <v>0</v>
      </c>
      <c r="T168" s="152">
        <f t="shared" ref="T168:X168" ca="1" si="75">SUM(T165:T167)</f>
        <v>0</v>
      </c>
      <c r="U168" s="137">
        <f t="shared" ca="1" si="75"/>
        <v>0</v>
      </c>
      <c r="V168" s="152">
        <f t="shared" ca="1" si="75"/>
        <v>748.06094198119456</v>
      </c>
      <c r="W168" s="152">
        <f t="shared" ca="1" si="75"/>
        <v>0</v>
      </c>
      <c r="X168" s="152">
        <f t="shared" ca="1" si="75"/>
        <v>0</v>
      </c>
    </row>
    <row r="169" spans="2:24" s="43" customFormat="1" ht="7.1" customHeight="1" thickBot="1" x14ac:dyDescent="0.55000000000000004">
      <c r="B169" s="44"/>
      <c r="E169" s="44"/>
      <c r="F169" s="44"/>
      <c r="G169" s="299"/>
      <c r="H169" s="104"/>
      <c r="I169" s="104"/>
      <c r="J169" s="113"/>
      <c r="K169" s="74"/>
      <c r="L169" s="74"/>
      <c r="M169" s="74"/>
      <c r="N169" s="74"/>
      <c r="O169" s="137"/>
      <c r="P169" s="136"/>
      <c r="Q169" s="74"/>
      <c r="R169" s="74"/>
      <c r="S169" s="74"/>
      <c r="T169" s="74"/>
      <c r="U169" s="137"/>
      <c r="V169" s="74"/>
      <c r="W169" s="74"/>
      <c r="X169" s="74"/>
    </row>
    <row r="170" spans="2:24" s="43" customFormat="1" ht="14.7" thickBot="1" x14ac:dyDescent="0.55000000000000004">
      <c r="B170" s="146" t="s">
        <v>39</v>
      </c>
      <c r="C170" s="147"/>
      <c r="D170" s="147"/>
      <c r="E170" s="148"/>
      <c r="F170" s="148"/>
      <c r="G170" s="299"/>
      <c r="H170" s="182">
        <f ca="1">SUM(H128,H136,H141,H146,H156,H159,H162,H168)</f>
        <v>2870696.1236610874</v>
      </c>
      <c r="I170" s="306">
        <f t="shared" ca="1" si="73"/>
        <v>0.58210565192205332</v>
      </c>
      <c r="J170" s="114"/>
      <c r="K170" s="154">
        <f t="shared" ref="K170:R170" ca="1" si="76">SUM(K128,K136,K141,K146,K156,K159,K162,K168)</f>
        <v>418326.64850152092</v>
      </c>
      <c r="L170" s="154">
        <f t="shared" ca="1" si="76"/>
        <v>2190721.836666055</v>
      </c>
      <c r="M170" s="154">
        <f ca="1">SUM(M128,M136,M141,M146,M156,M159,M162,M168)</f>
        <v>117818.03787773829</v>
      </c>
      <c r="N170" s="154">
        <f ca="1">SUM(N128,N136,N141,N146,N156,N159,N162,N168)</f>
        <v>58458.654256908019</v>
      </c>
      <c r="O170" s="149">
        <f t="shared" ca="1" si="76"/>
        <v>2785325.1773022222</v>
      </c>
      <c r="P170" s="153">
        <f t="shared" ca="1" si="76"/>
        <v>0</v>
      </c>
      <c r="Q170" s="154">
        <f t="shared" ca="1" si="76"/>
        <v>0</v>
      </c>
      <c r="R170" s="154">
        <f t="shared" ca="1" si="76"/>
        <v>0</v>
      </c>
      <c r="S170" s="154">
        <f ca="1">SUM(S128,S136,S141,S146,S156,S159,S162,S168)</f>
        <v>0</v>
      </c>
      <c r="T170" s="154">
        <f t="shared" ref="T170:X170" ca="1" si="77">SUM(T128,T136,T141,T146,T156,T159,T162,T168)</f>
        <v>0</v>
      </c>
      <c r="U170" s="149">
        <f t="shared" ca="1" si="77"/>
        <v>0</v>
      </c>
      <c r="V170" s="154">
        <f t="shared" ca="1" si="77"/>
        <v>80866.503324888923</v>
      </c>
      <c r="W170" s="154">
        <f t="shared" ca="1" si="77"/>
        <v>0</v>
      </c>
      <c r="X170" s="155">
        <f t="shared" ca="1" si="77"/>
        <v>4504.4430339756536</v>
      </c>
    </row>
  </sheetData>
  <sheetProtection algorithmName="SHA-512" hashValue="0HrRFG9Ltfbq1wCe2y+K20QD9SDqkBWkzKV9iDaSEyd2m8rQEFdv0m5MN84VZC+zMZYLLPrEKdV7RIfFtQ7x/g==" saltValue="v9u7gXUxLMb566zKqro6nQ==" spinCount="100000" sheet="1" objects="1" scenarios="1"/>
  <mergeCells count="6">
    <mergeCell ref="P9:U9"/>
    <mergeCell ref="V9:X9"/>
    <mergeCell ref="P64:U64"/>
    <mergeCell ref="V64:X64"/>
    <mergeCell ref="P119:U119"/>
    <mergeCell ref="V119:X119"/>
  </mergeCells>
  <dataValidations count="1">
    <dataValidation type="list" allowBlank="1" showInputMessage="1" showErrorMessage="1" sqref="N5" xr:uid="{00000000-0002-0000-0400-000000000000}">
      <formula1>"1,2,3"</formula1>
    </dataValidation>
  </dataValidation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Conversions!$B$7:$B$10</xm:f>
          </x14:formula1>
          <xm:sqref>F4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AB171"/>
  <sheetViews>
    <sheetView showGridLines="0" zoomScale="90" zoomScaleNormal="90" zoomScalePageLayoutView="90" workbookViewId="0">
      <selection activeCell="R5" sqref="R5"/>
    </sheetView>
  </sheetViews>
  <sheetFormatPr defaultColWidth="10.41015625" defaultRowHeight="14.35" x14ac:dyDescent="0.5"/>
  <cols>
    <col min="1" max="3" width="2.3515625" customWidth="1"/>
    <col min="6" max="6" width="11.41015625" bestFit="1" customWidth="1"/>
    <col min="7" max="7" width="10.41015625" style="1"/>
    <col min="8" max="9" width="12.41015625" customWidth="1"/>
    <col min="10" max="10" width="2.41015625" style="72" customWidth="1"/>
    <col min="15" max="15" width="10.76171875" bestFit="1" customWidth="1"/>
    <col min="20" max="20" width="12" customWidth="1"/>
  </cols>
  <sheetData>
    <row r="1" spans="1:25" s="30" customFormat="1" ht="18" x14ac:dyDescent="0.6">
      <c r="A1" s="30" t="s">
        <v>94</v>
      </c>
      <c r="G1" s="183"/>
      <c r="J1" s="110"/>
    </row>
    <row r="2" spans="1:25" x14ac:dyDescent="0.5">
      <c r="J2"/>
      <c r="U2" s="96"/>
    </row>
    <row r="3" spans="1:25" ht="14.7" thickBot="1" x14ac:dyDescent="0.55000000000000004">
      <c r="B3" s="257" t="s">
        <v>27</v>
      </c>
      <c r="C3" s="258"/>
      <c r="D3" s="258"/>
      <c r="E3" s="258"/>
      <c r="F3" s="258"/>
      <c r="G3" s="259"/>
      <c r="H3" s="258"/>
      <c r="I3" s="258"/>
      <c r="J3" s="258"/>
      <c r="K3" s="258"/>
      <c r="L3" s="258"/>
      <c r="M3" s="258"/>
      <c r="N3" s="258"/>
      <c r="O3" s="258"/>
      <c r="P3" s="258"/>
      <c r="Q3" s="260"/>
      <c r="S3" s="72"/>
      <c r="T3" s="72"/>
      <c r="U3" s="72"/>
    </row>
    <row r="4" spans="1:25" ht="15" thickTop="1" thickBot="1" x14ac:dyDescent="0.55000000000000004">
      <c r="B4" s="261"/>
      <c r="C4" s="72" t="s">
        <v>74</v>
      </c>
      <c r="D4" s="72"/>
      <c r="E4" s="72"/>
      <c r="F4" s="93" t="s">
        <v>108</v>
      </c>
      <c r="G4" s="64"/>
      <c r="H4" s="72"/>
      <c r="I4" s="72"/>
      <c r="K4" s="72"/>
      <c r="L4" s="72"/>
      <c r="M4" s="72"/>
      <c r="N4" s="72"/>
      <c r="O4" s="72"/>
      <c r="P4" s="262"/>
      <c r="Q4" s="263"/>
      <c r="S4" s="72"/>
      <c r="T4" s="72"/>
      <c r="U4" s="72"/>
    </row>
    <row r="5" spans="1:25" ht="15" thickTop="1" thickBot="1" x14ac:dyDescent="0.55000000000000004">
      <c r="B5" s="261"/>
      <c r="C5" s="72" t="s">
        <v>187</v>
      </c>
      <c r="D5" s="72"/>
      <c r="E5" s="72"/>
      <c r="F5" s="72"/>
      <c r="G5" s="64"/>
      <c r="H5" s="72"/>
      <c r="I5" s="93">
        <v>4.0800000000000003E-2</v>
      </c>
      <c r="L5" s="72"/>
      <c r="M5" s="72"/>
      <c r="N5" s="72"/>
      <c r="O5" s="72"/>
      <c r="P5" s="262"/>
      <c r="Q5" s="263"/>
      <c r="S5" s="72"/>
      <c r="T5" s="72"/>
      <c r="U5" s="72"/>
    </row>
    <row r="6" spans="1:25" s="1" customFormat="1" ht="15" thickTop="1" thickBot="1" x14ac:dyDescent="0.55000000000000004">
      <c r="B6" s="267"/>
      <c r="C6" s="78" t="s">
        <v>186</v>
      </c>
      <c r="D6" s="78"/>
      <c r="E6" s="64"/>
      <c r="F6" s="64"/>
      <c r="G6" s="268"/>
      <c r="H6" s="268"/>
      <c r="I6" s="268"/>
      <c r="J6" s="64"/>
      <c r="K6" s="64"/>
      <c r="L6" s="64"/>
      <c r="M6" s="64"/>
      <c r="N6" s="32">
        <v>1</v>
      </c>
      <c r="O6" s="269" t="str">
        <f ca="1">+"Currently Selected: "&amp;'On or Off Premise'!J5&amp;'On or Off Premise'!J6</f>
        <v>Currently Selected: All Units</v>
      </c>
      <c r="Q6" s="270"/>
      <c r="R6"/>
      <c r="S6" s="64"/>
      <c r="T6" s="64"/>
      <c r="U6" s="268"/>
      <c r="V6" s="37"/>
      <c r="W6" s="18"/>
      <c r="X6" s="34"/>
    </row>
    <row r="7" spans="1:25" s="55" customFormat="1" ht="3" customHeight="1" thickTop="1" x14ac:dyDescent="0.5">
      <c r="B7" s="271"/>
      <c r="C7" s="272"/>
      <c r="D7" s="272"/>
      <c r="E7" s="273"/>
      <c r="F7" s="273"/>
      <c r="G7" s="274"/>
      <c r="H7" s="274"/>
      <c r="I7" s="274"/>
      <c r="J7" s="273"/>
      <c r="K7" s="273"/>
      <c r="L7" s="273"/>
      <c r="M7" s="273"/>
      <c r="N7" s="273"/>
      <c r="O7" s="274"/>
      <c r="P7" s="273"/>
      <c r="Q7" s="277"/>
      <c r="R7" s="56"/>
      <c r="S7" s="347"/>
      <c r="T7" s="348"/>
      <c r="U7" s="350"/>
      <c r="V7" s="265"/>
      <c r="W7" s="264"/>
      <c r="X7" s="266"/>
    </row>
    <row r="8" spans="1:25" x14ac:dyDescent="0.5">
      <c r="G8" s="184"/>
      <c r="H8" s="31"/>
      <c r="I8" s="31"/>
      <c r="J8"/>
      <c r="P8" s="96"/>
      <c r="U8" s="96"/>
    </row>
    <row r="9" spans="1:25" ht="16" thickBot="1" x14ac:dyDescent="0.6">
      <c r="B9" s="46" t="str">
        <f ca="1">+"TOTAL UNITS AND MASS -- "&amp;'On or Off Premise'!J5&amp;'On or Off Premise'!J6</f>
        <v>TOTAL UNITS AND MASS -- All Units</v>
      </c>
      <c r="C9" s="46"/>
      <c r="D9" s="46"/>
      <c r="E9" s="46"/>
      <c r="F9" s="46"/>
      <c r="G9" s="185"/>
      <c r="H9" s="46"/>
      <c r="I9" s="46"/>
      <c r="K9" s="178" t="str">
        <f ca="1">"TOTAL MASS BY MATERIAL ("&amp;F4&amp;") -- "&amp;'On or Off Premise'!J5&amp;'On or Off Premise'!J6</f>
        <v>TOTAL MASS BY MATERIAL (Short Tons) -- All Units</v>
      </c>
      <c r="L9" s="178"/>
      <c r="M9" s="178"/>
      <c r="N9" s="178"/>
      <c r="O9" s="178"/>
      <c r="P9" s="178"/>
      <c r="Q9" s="178"/>
      <c r="R9" s="178"/>
      <c r="S9" s="178"/>
      <c r="T9" s="178"/>
      <c r="U9" s="178"/>
      <c r="V9" s="178"/>
      <c r="W9" s="178"/>
      <c r="X9" s="178"/>
    </row>
    <row r="10" spans="1:25" s="56" customFormat="1" ht="16" thickBot="1" x14ac:dyDescent="0.6">
      <c r="B10" s="217"/>
      <c r="C10" s="217"/>
      <c r="D10" s="217"/>
      <c r="E10" s="217"/>
      <c r="F10" s="217"/>
      <c r="G10" s="217"/>
      <c r="H10" s="217"/>
      <c r="I10" s="217"/>
      <c r="J10" s="216"/>
      <c r="K10" s="212" t="s">
        <v>73</v>
      </c>
      <c r="L10" s="212"/>
      <c r="M10" s="212"/>
      <c r="N10" s="212"/>
      <c r="O10" s="218"/>
      <c r="P10" s="372" t="s">
        <v>72</v>
      </c>
      <c r="Q10" s="373"/>
      <c r="R10" s="373"/>
      <c r="S10" s="373"/>
      <c r="T10" s="373"/>
      <c r="U10" s="374"/>
      <c r="V10" s="375" t="s">
        <v>4</v>
      </c>
      <c r="W10" s="376"/>
      <c r="X10" s="376"/>
      <c r="Y10"/>
    </row>
    <row r="11" spans="1:25" s="36" customFormat="1" ht="15.7" x14ac:dyDescent="0.55000000000000004">
      <c r="B11" s="41"/>
      <c r="C11" s="41"/>
      <c r="D11" s="41"/>
      <c r="E11" s="41"/>
      <c r="F11" s="41"/>
      <c r="G11" s="53" t="s">
        <v>32</v>
      </c>
      <c r="H11" s="42" t="s">
        <v>33</v>
      </c>
      <c r="I11" s="42" t="s">
        <v>142</v>
      </c>
      <c r="J11" s="111"/>
      <c r="K11" s="59" t="str">
        <f>+IF(ISBLANK('Material %'!G10)*1=1,"",'Material %'!G10)</f>
        <v>Lined</v>
      </c>
      <c r="L11" s="59" t="str">
        <f>+IF(ISBLANK('Material %'!H10)*1=1,"",'Material %'!H10)</f>
        <v>Unlined</v>
      </c>
      <c r="M11" s="59" t="s">
        <v>61</v>
      </c>
      <c r="N11" s="59" t="s">
        <v>182</v>
      </c>
      <c r="O11" s="203" t="str">
        <f>+IF(ISBLANK('Material %'!K10)*1=1,"",'Material %'!K10)</f>
        <v>TOTAL</v>
      </c>
      <c r="P11" s="202" t="str">
        <f>+IF(ISBLANK('Material %'!L10)*1=1,"",'Material %'!L10)</f>
        <v/>
      </c>
      <c r="Q11" s="59" t="str">
        <f>+IF(ISBLANK('Material %'!M10)*1=1,"",'Material %'!M10)</f>
        <v/>
      </c>
      <c r="R11" s="59" t="str">
        <f>+IF(ISBLANK('Material %'!N10)*1=1,"",'Material %'!N10)</f>
        <v/>
      </c>
      <c r="S11" s="59" t="str">
        <f>+IF(ISBLANK('Material %'!O10)*1=1,"",'Material %'!O10)</f>
        <v>EPS</v>
      </c>
      <c r="T11" s="59" t="s">
        <v>71</v>
      </c>
      <c r="U11" s="203" t="str">
        <f>+IF(ISBLANK('Material %'!Q10)*1=1,"",'Material %'!Q10)</f>
        <v>TOTAL</v>
      </c>
      <c r="V11" s="59" t="str">
        <f>+IF(ISBLANK('Material %'!R10)*1=1,"",'Material %'!R10)</f>
        <v/>
      </c>
      <c r="W11" s="59" t="str">
        <f>+IF(ISBLANK('Material %'!S10)*1=1,"",'Material %'!S10)</f>
        <v/>
      </c>
      <c r="X11" s="59" t="str">
        <f>+IF(ISBLANK('Material %'!T10)*1=1,"",'Material %'!T10)</f>
        <v/>
      </c>
    </row>
    <row r="12" spans="1:25" s="36" customFormat="1" ht="16" thickBot="1" x14ac:dyDescent="0.6">
      <c r="B12" s="39"/>
      <c r="C12" s="39"/>
      <c r="D12" s="39"/>
      <c r="E12" s="39"/>
      <c r="F12" s="39"/>
      <c r="G12" s="40" t="s">
        <v>44</v>
      </c>
      <c r="H12" s="40" t="str">
        <f>"("&amp;F4&amp;")"</f>
        <v>(Short Tons)</v>
      </c>
      <c r="I12" s="40" t="s">
        <v>143</v>
      </c>
      <c r="J12" s="111"/>
      <c r="K12" s="29" t="str">
        <f>+IF(ISBLANK('Material %'!G11)*1=1,"",'Material %'!G11)</f>
        <v>Paper</v>
      </c>
      <c r="L12" s="29" t="str">
        <f>+IF(ISBLANK('Material %'!H11)*1=1,"",'Material %'!H11)</f>
        <v>Paper</v>
      </c>
      <c r="M12" s="29" t="s">
        <v>62</v>
      </c>
      <c r="N12" s="29" t="s">
        <v>62</v>
      </c>
      <c r="O12" s="70" t="str">
        <f>+IF(ISBLANK('Material %'!K11)*1=1,"",'Material %'!K11)</f>
        <v>PAPER</v>
      </c>
      <c r="P12" s="58" t="str">
        <f>+IF(ISBLANK('Material %'!L11)*1=1,"",'Material %'!L11)</f>
        <v>PET</v>
      </c>
      <c r="Q12" s="29" t="str">
        <f>+IF(ISBLANK('Material %'!M11)*1=1,"",'Material %'!M11)</f>
        <v>PP</v>
      </c>
      <c r="R12" s="29" t="str">
        <f>+IF(ISBLANK('Material %'!N11)*1=1,"",'Material %'!N11)</f>
        <v>PS</v>
      </c>
      <c r="S12" s="29" t="str">
        <f>+IF(ISBLANK('Material %'!O11)*1=1,"",'Material %'!O11)</f>
        <v>Foam</v>
      </c>
      <c r="T12" s="29" t="s">
        <v>183</v>
      </c>
      <c r="U12" s="70" t="str">
        <f>+IF(ISBLANK('Material %'!Q11)*1=1,"",'Material %'!Q11)</f>
        <v>PLASTIC</v>
      </c>
      <c r="V12" s="29" t="str">
        <f>+IF(ISBLANK('Material %'!R11)*1=1,"",'Material %'!R11)</f>
        <v>PLA</v>
      </c>
      <c r="W12" s="29" t="str">
        <f>+IF(ISBLANK('Material %'!S11)*1=1,"",'Material %'!S11)</f>
        <v>Aluminum</v>
      </c>
      <c r="X12" s="29" t="str">
        <f>+IF(ISBLANK('Material %'!T11)*1=1,"",'Material %'!T11)</f>
        <v>Wood</v>
      </c>
    </row>
    <row r="13" spans="1:25" s="1" customFormat="1" ht="15.7" x14ac:dyDescent="0.55000000000000004">
      <c r="B13" s="7" t="s">
        <v>21</v>
      </c>
      <c r="C13" s="8"/>
      <c r="D13" s="8"/>
      <c r="E13" s="9"/>
      <c r="F13" s="9"/>
      <c r="G13" s="54"/>
      <c r="H13" s="54"/>
      <c r="I13" s="54"/>
      <c r="J13" s="64"/>
      <c r="K13" s="179"/>
      <c r="L13" s="179"/>
      <c r="M13" s="179"/>
      <c r="N13" s="179"/>
      <c r="O13" s="180"/>
      <c r="P13" s="181"/>
      <c r="Q13" s="179"/>
      <c r="R13" s="179"/>
      <c r="S13" s="179"/>
      <c r="T13" s="179"/>
      <c r="U13" s="180"/>
      <c r="V13" s="179"/>
      <c r="W13" s="179"/>
      <c r="X13" s="179"/>
    </row>
    <row r="14" spans="1:25" s="1" customFormat="1" x14ac:dyDescent="0.5">
      <c r="B14" s="94" t="s">
        <v>59</v>
      </c>
      <c r="C14" s="56"/>
      <c r="D14" s="56"/>
      <c r="E14" s="55"/>
      <c r="F14" s="55"/>
      <c r="G14" s="97"/>
      <c r="H14" s="95"/>
      <c r="I14" s="95"/>
      <c r="J14" s="64"/>
      <c r="K14" s="74"/>
      <c r="L14" s="74"/>
      <c r="M14" s="74"/>
      <c r="N14" s="74"/>
      <c r="O14" s="137"/>
      <c r="P14" s="136"/>
      <c r="Q14" s="74"/>
      <c r="R14" s="74"/>
      <c r="S14" s="74"/>
      <c r="T14" s="74"/>
      <c r="U14" s="137"/>
      <c r="V14" s="74"/>
      <c r="W14" s="74"/>
      <c r="X14" s="74"/>
    </row>
    <row r="15" spans="1:25" s="1" customFormat="1" x14ac:dyDescent="0.5">
      <c r="B15" s="2"/>
      <c r="C15" s="1" t="s">
        <v>52</v>
      </c>
      <c r="G15" s="99">
        <f ca="1">'On or Off Premise'!J9*$I$5</f>
        <v>57.120000000000005</v>
      </c>
      <c r="H15" s="99">
        <f ca="1">+SUM(O15,U15:X15)</f>
        <v>9190.8460391950939</v>
      </c>
      <c r="I15" s="305">
        <f ca="1">H15/$H$61</f>
        <v>4.4505350727137023E-2</v>
      </c>
      <c r="J15" s="112"/>
      <c r="K15" s="74">
        <f ca="1">+'Units Sold'!G64*IF('Product Masses'!G9="X",0,'Product Masses'!G9)*VLOOKUP($F$4,Conversions!$B$7:$C$10,2,FALSE)</f>
        <v>1942.4952734218489</v>
      </c>
      <c r="L15" s="74">
        <f ca="1">+'Units Sold'!H64*IF('Product Masses'!H9="X",0,'Product Masses'!H9)*VLOOKUP($F$4,Conversions!$B$7:$C$10,2,FALSE)</f>
        <v>7248.3507657732443</v>
      </c>
      <c r="M15" s="74">
        <f ca="1">+'Units Sold'!I64*IF('Product Masses'!I9="X",0,'Product Masses'!I9)*VLOOKUP($F$4,Conversions!$B$7:$C$10,2,FALSE)</f>
        <v>0</v>
      </c>
      <c r="N15" s="74">
        <f ca="1">+'Units Sold'!J64*IF('Product Masses'!J9="X",0,'Product Masses'!J9)*VLOOKUP($F$4,Conversions!$B$7:$C$10,2,FALSE)</f>
        <v>0</v>
      </c>
      <c r="O15" s="137">
        <f ca="1">SUM(K15:N15)</f>
        <v>9190.8460391950939</v>
      </c>
      <c r="P15" s="136">
        <f ca="1">+'Units Sold'!L64*IF('Product Masses'!K9="X",0,'Product Masses'!K9)*VLOOKUP($F$4,Conversions!$B$7:$C$10,2,FALSE)</f>
        <v>0</v>
      </c>
      <c r="Q15" s="74">
        <f ca="1">+'Units Sold'!M64*IF('Product Masses'!L9="X",0,'Product Masses'!L9)*VLOOKUP($F$4,Conversions!$B$7:$C$10,2,FALSE)</f>
        <v>0</v>
      </c>
      <c r="R15" s="74">
        <f ca="1">+'Units Sold'!N64*IF('Product Masses'!M9="X",0,'Product Masses'!M9)*VLOOKUP($F$4,Conversions!$B$7:$C$10,2,FALSE)</f>
        <v>0</v>
      </c>
      <c r="S15" s="74">
        <f ca="1">+'Units Sold'!O64*IF('Product Masses'!N9="X",0,'Product Masses'!N9)*VLOOKUP($F$4,Conversions!$B$7:$C$10,2,FALSE)</f>
        <v>0</v>
      </c>
      <c r="T15" s="74">
        <f ca="1">+'Units Sold'!P64*IF('Product Masses'!O9="X",0,'Product Masses'!O9)*VLOOKUP($F$4,Conversions!$B$7:$C$10,2,FALSE)</f>
        <v>0</v>
      </c>
      <c r="U15" s="137">
        <f ca="1">SUM(P15:T15)</f>
        <v>0</v>
      </c>
      <c r="V15" s="74">
        <f ca="1">+'Units Sold'!R64*IF('Product Masses'!P9="X",0,'Product Masses'!P9)*VLOOKUP($F$4,Conversions!$B$7:$C$10,2,FALSE)</f>
        <v>0</v>
      </c>
      <c r="W15" s="74">
        <f ca="1">+'Units Sold'!S64*IF('Product Masses'!Q9="X",0,'Product Masses'!Q9)*VLOOKUP($F$4,Conversions!$B$7:$C$10,2,FALSE)</f>
        <v>0</v>
      </c>
      <c r="X15" s="74">
        <f ca="1">+'Units Sold'!T64*IF('Product Masses'!R9="X",0,'Product Masses'!R9)*VLOOKUP($F$4,Conversions!$B$7:$C$10,2,FALSE)</f>
        <v>0</v>
      </c>
    </row>
    <row r="16" spans="1:25" s="1" customFormat="1" x14ac:dyDescent="0.5">
      <c r="B16" s="2"/>
      <c r="C16" s="1" t="s">
        <v>4</v>
      </c>
      <c r="G16" s="99">
        <f ca="1">'On or Off Premise'!J10*$I$5</f>
        <v>96.124800000000008</v>
      </c>
      <c r="H16" s="99">
        <f ca="1">+SUM(O16,U16:X16)</f>
        <v>3649.8130976860871</v>
      </c>
      <c r="I16" s="305">
        <f ca="1">H16/$H$61</f>
        <v>1.7673695251590068E-2</v>
      </c>
      <c r="J16" s="112"/>
      <c r="K16" s="74">
        <f ca="1">+'Units Sold'!G65*IF('Product Masses'!G10="X",0,'Product Masses'!G10)*VLOOKUP($F$4,Conversions!$B$7:$C$10,2,FALSE)</f>
        <v>3649.8130976860871</v>
      </c>
      <c r="L16" s="74">
        <f ca="1">+'Units Sold'!H65*IF('Product Masses'!H10="X",0,'Product Masses'!H10)*VLOOKUP($F$4,Conversions!$B$7:$C$10,2,FALSE)</f>
        <v>0</v>
      </c>
      <c r="M16" s="74">
        <f ca="1">+'Units Sold'!I65*IF('Product Masses'!I10="X",0,'Product Masses'!I10)*VLOOKUP($F$4,Conversions!$B$7:$C$10,2,FALSE)</f>
        <v>0</v>
      </c>
      <c r="N16" s="74">
        <f ca="1">+'Units Sold'!J65*IF('Product Masses'!J10="X",0,'Product Masses'!J10)*VLOOKUP($F$4,Conversions!$B$7:$C$10,2,FALSE)</f>
        <v>0</v>
      </c>
      <c r="O16" s="137">
        <f ca="1">SUM(K16:N16)</f>
        <v>3649.8130976860871</v>
      </c>
      <c r="P16" s="136">
        <f ca="1">+'Units Sold'!L65*IF('Product Masses'!K10="X",0,'Product Masses'!K10)*VLOOKUP($F$4,Conversions!$B$7:$C$10,2,FALSE)</f>
        <v>0</v>
      </c>
      <c r="Q16" s="74">
        <f ca="1">+'Units Sold'!M65*IF('Product Masses'!L10="X",0,'Product Masses'!L10)*VLOOKUP($F$4,Conversions!$B$7:$C$10,2,FALSE)</f>
        <v>0</v>
      </c>
      <c r="R16" s="74">
        <f ca="1">+'Units Sold'!N65*IF('Product Masses'!M10="X",0,'Product Masses'!M10)*VLOOKUP($F$4,Conversions!$B$7:$C$10,2,FALSE)</f>
        <v>0</v>
      </c>
      <c r="S16" s="74">
        <f ca="1">+'Units Sold'!O65*IF('Product Masses'!N10="X",0,'Product Masses'!N10)*VLOOKUP($F$4,Conversions!$B$7:$C$10,2,FALSE)</f>
        <v>0</v>
      </c>
      <c r="T16" s="74">
        <f ca="1">+'Units Sold'!P65*IF('Product Masses'!O10="X",0,'Product Masses'!O10)*VLOOKUP($F$4,Conversions!$B$7:$C$10,2,FALSE)</f>
        <v>0</v>
      </c>
      <c r="U16" s="137">
        <f t="shared" ref="U16:U18" ca="1" si="0">SUM(P16:T16)</f>
        <v>0</v>
      </c>
      <c r="V16" s="74">
        <f ca="1">+'Units Sold'!R65*IF('Product Masses'!P10="X",0,'Product Masses'!P10)*VLOOKUP($F$4,Conversions!$B$7:$C$10,2,FALSE)</f>
        <v>0</v>
      </c>
      <c r="W16" s="74">
        <f ca="1">+'Units Sold'!S65*IF('Product Masses'!Q10="X",0,'Product Masses'!Q10)*VLOOKUP($F$4,Conversions!$B$7:$C$10,2,FALSE)</f>
        <v>0</v>
      </c>
      <c r="X16" s="74">
        <f ca="1">+'Units Sold'!T65*IF('Product Masses'!R10="X",0,'Product Masses'!R10)*VLOOKUP($F$4,Conversions!$B$7:$C$10,2,FALSE)</f>
        <v>0</v>
      </c>
    </row>
    <row r="17" spans="2:28" s="1" customFormat="1" x14ac:dyDescent="0.5">
      <c r="B17" s="2" t="s">
        <v>5</v>
      </c>
      <c r="E17" s="2"/>
      <c r="F17" s="2"/>
      <c r="G17" s="99">
        <f ca="1">'On or Off Premise'!J11*$I$5</f>
        <v>541.90560000000005</v>
      </c>
      <c r="H17" s="99">
        <f ca="1">+SUM(O17,U17:X17)</f>
        <v>12264.756854087895</v>
      </c>
      <c r="I17" s="305">
        <f ca="1">H17/$H$61</f>
        <v>5.9390321962355823E-2</v>
      </c>
      <c r="J17" s="112"/>
      <c r="K17" s="74">
        <f ca="1">+'Units Sold'!G66*IF('Product Masses'!G11="X",0,'Product Masses'!G11)*VLOOKUP($F$4,Conversions!$B$7:$C$10,2,FALSE)</f>
        <v>216.31211126265342</v>
      </c>
      <c r="L17" s="74">
        <f ca="1">+'Units Sold'!H66*IF('Product Masses'!H11="X",0,'Product Masses'!H11)*VLOOKUP($F$4,Conversions!$B$7:$C$10,2,FALSE)</f>
        <v>216.31211126265342</v>
      </c>
      <c r="M17" s="74">
        <f ca="1">+'Units Sold'!I66*IF('Product Masses'!I11="X",0,'Product Masses'!I11)*VLOOKUP($F$4,Conversions!$B$7:$C$10,2,FALSE)</f>
        <v>216.08461980728521</v>
      </c>
      <c r="N17" s="74">
        <f ca="1">+'Units Sold'!J66*IF('Product Masses'!J11="X",0,'Product Masses'!J11)*VLOOKUP($F$4,Conversions!$B$7:$C$10,2,FALSE)</f>
        <v>238.01596687200515</v>
      </c>
      <c r="O17" s="137">
        <f ca="1">SUM(K17:N17)</f>
        <v>886.72480920459714</v>
      </c>
      <c r="P17" s="136">
        <f ca="1">+'Units Sold'!L66*IF('Product Masses'!K11="X",0,'Product Masses'!K11)*VLOOKUP($F$4,Conversions!$B$7:$C$10,2,FALSE)</f>
        <v>1343.7839203631754</v>
      </c>
      <c r="Q17" s="74">
        <f ca="1">+'Units Sold'!M66*IF('Product Masses'!L11="X",0,'Product Masses'!L11)*VLOOKUP($F$4,Conversions!$B$7:$C$10,2,FALSE)</f>
        <v>2670.9456420175366</v>
      </c>
      <c r="R17" s="74">
        <f ca="1">+'Units Sold'!N66*IF('Product Masses'!M11="X",0,'Product Masses'!M11)*VLOOKUP($F$4,Conversions!$B$7:$C$10,2,FALSE)</f>
        <v>1125.0399444538489</v>
      </c>
      <c r="S17" s="74">
        <f ca="1">+'Units Sold'!O66*IF('Product Masses'!N11="X",0,'Product Masses'!N11)*VLOOKUP($F$4,Conversions!$B$7:$C$10,2,FALSE)</f>
        <v>5994.6903514762889</v>
      </c>
      <c r="T17" s="74">
        <f ca="1">+'Units Sold'!P66*IF('Product Masses'!O11="X",0,'Product Masses'!O11)*VLOOKUP($F$4,Conversions!$B$7:$C$10,2,FALSE)</f>
        <v>0</v>
      </c>
      <c r="U17" s="137">
        <f t="shared" ca="1" si="0"/>
        <v>11134.459858310849</v>
      </c>
      <c r="V17" s="74">
        <f ca="1">+'Units Sold'!R66*IF('Product Masses'!P11="X",0,'Product Masses'!P11)*VLOOKUP($F$4,Conversions!$B$7:$C$10,2,FALSE)</f>
        <v>243.57218657244891</v>
      </c>
      <c r="W17" s="74">
        <f ca="1">+'Units Sold'!S66*IF('Product Masses'!Q11="X",0,'Product Masses'!Q11)*VLOOKUP($F$4,Conversions!$B$7:$C$10,2,FALSE)</f>
        <v>0</v>
      </c>
      <c r="X17" s="74">
        <f ca="1">+'Units Sold'!T66*IF('Product Masses'!R11="X",0,'Product Masses'!R11)*VLOOKUP($F$4,Conversions!$B$7:$C$10,2,FALSE)</f>
        <v>0</v>
      </c>
      <c r="Z17" s="318"/>
      <c r="AA17" s="318"/>
    </row>
    <row r="18" spans="2:28" s="1" customFormat="1" x14ac:dyDescent="0.5">
      <c r="B18" s="47" t="s">
        <v>6</v>
      </c>
      <c r="C18" s="48"/>
      <c r="D18" s="48"/>
      <c r="E18" s="48"/>
      <c r="F18" s="48"/>
      <c r="G18" s="101">
        <f ca="1">'On or Off Premise'!J12*$I$5</f>
        <v>303.02160000000003</v>
      </c>
      <c r="H18" s="101">
        <f ca="1">+SUM(O18,U18:X18)</f>
        <v>6010.933125310572</v>
      </c>
      <c r="I18" s="307">
        <f ca="1">H18/$H$61</f>
        <v>2.9107079565739449E-2</v>
      </c>
      <c r="J18" s="112"/>
      <c r="K18" s="49">
        <f ca="1">+'Units Sold'!G67*IF('Product Masses'!G12="X",0,'Product Masses'!G12)*VLOOKUP($F$4,Conversions!$B$7:$C$10,2,FALSE)</f>
        <v>396.56694157523913</v>
      </c>
      <c r="L18" s="49">
        <f ca="1">+'Units Sold'!H67*IF('Product Masses'!H12="X",0,'Product Masses'!H12)*VLOOKUP($F$4,Conversions!$B$7:$C$10,2,FALSE)</f>
        <v>0</v>
      </c>
      <c r="M18" s="49">
        <f ca="1">+'Units Sold'!I67*IF('Product Masses'!I12="X",0,'Product Masses'!I12)*VLOOKUP($F$4,Conversions!$B$7:$C$10,2,FALSE)</f>
        <v>2523.5611030477835</v>
      </c>
      <c r="N18" s="49">
        <f ca="1">+'Units Sold'!J67*IF('Product Masses'!J12="X",0,'Product Masses'!J12)*VLOOKUP($F$4,Conversions!$B$7:$C$10,2,FALSE)</f>
        <v>82.796676027914756</v>
      </c>
      <c r="O18" s="144">
        <f ca="1">SUM(K18:N18)</f>
        <v>3002.9247206509372</v>
      </c>
      <c r="P18" s="49">
        <f ca="1">+'Units Sold'!L67*IF('Product Masses'!K12="X",0,'Product Masses'!K12)*VLOOKUP($F$4,Conversions!$B$7:$C$10,2,FALSE)</f>
        <v>371.01923806096374</v>
      </c>
      <c r="Q18" s="49">
        <f ca="1">+'Units Sold'!M67*IF('Product Masses'!L12="X",0,'Product Masses'!L12)*VLOOKUP($F$4,Conversions!$B$7:$C$10,2,FALSE)</f>
        <v>583.1713132784181</v>
      </c>
      <c r="R18" s="49">
        <f ca="1">+'Units Sold'!N67*IF('Product Masses'!M12="X",0,'Product Masses'!M12)*VLOOKUP($F$4,Conversions!$B$7:$C$10,2,FALSE)</f>
        <v>242.72621816784542</v>
      </c>
      <c r="S18" s="49">
        <f ca="1">+'Units Sold'!O67*IF('Product Masses'!N12="X",0,'Product Masses'!N12)*VLOOKUP($F$4,Conversions!$B$7:$C$10,2,FALSE)</f>
        <v>1682.2414968946578</v>
      </c>
      <c r="T18" s="49">
        <f ca="1">+'Units Sold'!P67*IF('Product Masses'!O12="X",0,'Product Masses'!O12)*VLOOKUP($F$4,Conversions!$B$7:$C$10,2,FALSE)</f>
        <v>0</v>
      </c>
      <c r="U18" s="144">
        <f t="shared" ca="1" si="0"/>
        <v>2879.1582664018852</v>
      </c>
      <c r="V18" s="49">
        <f ca="1">+'Units Sold'!R67*IF('Product Masses'!P12="X",0,'Product Masses'!P12)*VLOOKUP($F$4,Conversions!$B$7:$C$10,2,FALSE)</f>
        <v>56.617443980730911</v>
      </c>
      <c r="W18" s="49">
        <f ca="1">+'Units Sold'!S67*IF('Product Masses'!Q12="X",0,'Product Masses'!Q12)*VLOOKUP($F$4,Conversions!$B$7:$C$10,2,FALSE)</f>
        <v>72.232694277019149</v>
      </c>
      <c r="X18" s="49">
        <f ca="1">+'Units Sold'!T67*IF('Product Masses'!R12="X",0,'Product Masses'!R12)*VLOOKUP($F$4,Conversions!$B$7:$C$10,2,FALSE)</f>
        <v>0</v>
      </c>
      <c r="Z18" s="318"/>
      <c r="AA18" s="318"/>
    </row>
    <row r="19" spans="2:28" s="43" customFormat="1" x14ac:dyDescent="0.5">
      <c r="B19" s="44" t="s">
        <v>34</v>
      </c>
      <c r="G19" s="102">
        <f ca="1">SUM(G15:G18)</f>
        <v>998.17200000000003</v>
      </c>
      <c r="H19" s="103">
        <f ca="1">SUM(H15:H18)</f>
        <v>31116.349116279649</v>
      </c>
      <c r="I19" s="308">
        <f ca="1">H19/$H$61</f>
        <v>0.15067644750682238</v>
      </c>
      <c r="J19" s="113"/>
      <c r="K19" s="152">
        <f t="shared" ref="K19:V19" ca="1" si="1">SUM(K15:K18)</f>
        <v>6205.1874239458284</v>
      </c>
      <c r="L19" s="152">
        <f t="shared" ca="1" si="1"/>
        <v>7464.6628770358975</v>
      </c>
      <c r="M19" s="152">
        <f ca="1">SUM(M15:M18)</f>
        <v>2739.6457228550689</v>
      </c>
      <c r="N19" s="152">
        <f ca="1">SUM(N15:N18)</f>
        <v>320.81264289991992</v>
      </c>
      <c r="O19" s="137">
        <f t="shared" ca="1" si="1"/>
        <v>16730.308666736717</v>
      </c>
      <c r="P19" s="151">
        <f t="shared" ca="1" si="1"/>
        <v>1714.8031584241392</v>
      </c>
      <c r="Q19" s="152">
        <f t="shared" ca="1" si="1"/>
        <v>3254.1169552959545</v>
      </c>
      <c r="R19" s="152">
        <f t="shared" ca="1" si="1"/>
        <v>1367.7661626216943</v>
      </c>
      <c r="S19" s="152">
        <f ca="1">SUM(S15:S18)</f>
        <v>7676.9318483709467</v>
      </c>
      <c r="T19" s="152">
        <f t="shared" ca="1" si="1"/>
        <v>0</v>
      </c>
      <c r="U19" s="137">
        <f t="shared" ca="1" si="1"/>
        <v>14013.618124712735</v>
      </c>
      <c r="V19" s="152">
        <f t="shared" ca="1" si="1"/>
        <v>300.18963055317982</v>
      </c>
      <c r="W19" s="152">
        <f t="shared" ref="W19:X19" ca="1" si="2">SUM(W15:W18)</f>
        <v>72.232694277019149</v>
      </c>
      <c r="X19" s="152">
        <f t="shared" ca="1" si="2"/>
        <v>0</v>
      </c>
      <c r="Z19" s="317"/>
      <c r="AA19" s="317"/>
      <c r="AB19" s="317"/>
    </row>
    <row r="20" spans="2:28" s="1" customFormat="1" ht="7.1" customHeight="1" x14ac:dyDescent="0.5">
      <c r="B20" s="3"/>
      <c r="G20" s="100"/>
      <c r="H20" s="100"/>
      <c r="I20" s="100"/>
      <c r="J20" s="112"/>
      <c r="K20" s="74"/>
      <c r="L20" s="74"/>
      <c r="M20" s="74"/>
      <c r="N20" s="74"/>
      <c r="O20" s="137"/>
      <c r="P20" s="136"/>
      <c r="Q20" s="74"/>
      <c r="R20" s="74"/>
      <c r="S20" s="74"/>
      <c r="T20" s="74"/>
      <c r="U20" s="137"/>
      <c r="V20" s="74"/>
      <c r="W20" s="74"/>
      <c r="X20" s="74"/>
    </row>
    <row r="21" spans="2:28" s="1" customFormat="1" x14ac:dyDescent="0.5">
      <c r="B21" s="10" t="s">
        <v>22</v>
      </c>
      <c r="C21" s="9"/>
      <c r="D21" s="9"/>
      <c r="E21" s="9"/>
      <c r="F21" s="9"/>
      <c r="G21" s="105"/>
      <c r="H21" s="106"/>
      <c r="I21" s="106"/>
      <c r="J21" s="112"/>
      <c r="K21" s="140"/>
      <c r="L21" s="140"/>
      <c r="M21" s="140"/>
      <c r="N21" s="140"/>
      <c r="O21" s="141"/>
      <c r="P21" s="139"/>
      <c r="Q21" s="140"/>
      <c r="R21" s="140"/>
      <c r="S21" s="140"/>
      <c r="T21" s="140"/>
      <c r="U21" s="141"/>
      <c r="V21" s="140"/>
      <c r="W21" s="140"/>
      <c r="X21" s="140"/>
    </row>
    <row r="22" spans="2:28" s="1" customFormat="1" x14ac:dyDescent="0.5">
      <c r="B22" s="2" t="s">
        <v>53</v>
      </c>
      <c r="G22" s="108"/>
      <c r="H22" s="100"/>
      <c r="I22" s="100"/>
      <c r="J22" s="112"/>
      <c r="K22" s="74"/>
      <c r="L22" s="74"/>
      <c r="M22" s="74"/>
      <c r="N22" s="74"/>
      <c r="O22" s="137"/>
      <c r="P22" s="136"/>
      <c r="Q22" s="74"/>
      <c r="R22" s="74"/>
      <c r="S22" s="74"/>
      <c r="T22" s="74"/>
      <c r="U22" s="137"/>
      <c r="V22" s="74"/>
      <c r="W22" s="74"/>
      <c r="X22" s="74"/>
    </row>
    <row r="23" spans="2:28" s="1" customFormat="1" x14ac:dyDescent="0.5">
      <c r="B23" s="2"/>
      <c r="C23" s="2" t="s">
        <v>47</v>
      </c>
      <c r="G23" s="99">
        <f ca="1">'On or Off Premise'!J17*$I$5</f>
        <v>464.50800000000004</v>
      </c>
      <c r="H23" s="99">
        <f ca="1">+SUM(O23,U23:X23)</f>
        <v>2023.0849459816723</v>
      </c>
      <c r="I23" s="305">
        <f t="shared" ref="I23:I27" ca="1" si="3">H23/$H$61</f>
        <v>9.7964980250708922E-3</v>
      </c>
      <c r="J23" s="112"/>
      <c r="K23" s="74">
        <f ca="1">+'Units Sold'!G72*IF('Product Masses'!G16="X",0,'Product Masses'!G16)*VLOOKUP($F$4,Conversions!$B$7:$C$10,2,FALSE)</f>
        <v>0</v>
      </c>
      <c r="L23" s="74">
        <f ca="1">+'Units Sold'!H72*IF('Product Masses'!H16="X",0,'Product Masses'!H16)*VLOOKUP($F$4,Conversions!$B$7:$C$10,2,FALSE)</f>
        <v>0</v>
      </c>
      <c r="M23" s="74">
        <f ca="1">+'Units Sold'!I72*IF('Product Masses'!I16="X",0,'Product Masses'!I16)*VLOOKUP($F$4,Conversions!$B$7:$C$10,2,FALSE)</f>
        <v>0</v>
      </c>
      <c r="N23" s="74">
        <f ca="1">+'Units Sold'!J72*IF('Product Masses'!J16="X",0,'Product Masses'!J16)*VLOOKUP($F$4,Conversions!$B$7:$C$10,2,FALSE)</f>
        <v>0</v>
      </c>
      <c r="O23" s="137">
        <f ca="1">SUM(K23:N23)</f>
        <v>0</v>
      </c>
      <c r="P23" s="136">
        <f ca="1">+'Units Sold'!L72*IF('Product Masses'!K16="X",0,'Product Masses'!K16)*VLOOKUP($F$4,Conversions!$B$7:$C$10,2,FALSE)</f>
        <v>0</v>
      </c>
      <c r="Q23" s="74">
        <f ca="1">+'Units Sold'!M72*IF('Product Masses'!L16="X",0,'Product Masses'!L16)*VLOOKUP($F$4,Conversions!$B$7:$C$10,2,FALSE)</f>
        <v>0</v>
      </c>
      <c r="R23" s="74">
        <f ca="1">+'Units Sold'!N72*IF('Product Masses'!M16="X",0,'Product Masses'!M16)*VLOOKUP($F$4,Conversions!$B$7:$C$10,2,FALSE)</f>
        <v>1876.7650872718391</v>
      </c>
      <c r="S23" s="74">
        <f ca="1">+'Units Sold'!O72*IF('Product Masses'!N16="X",0,'Product Masses'!N16)*VLOOKUP($F$4,Conversions!$B$7:$C$10,2,FALSE)</f>
        <v>0</v>
      </c>
      <c r="T23" s="74">
        <f ca="1">+'Units Sold'!P72*IF('Product Masses'!O16="X",0,'Product Masses'!O16)*VLOOKUP($F$4,Conversions!$B$7:$C$10,2,FALSE)</f>
        <v>0</v>
      </c>
      <c r="U23" s="137">
        <f t="shared" ref="U23:U26" ca="1" si="4">SUM(P23:T23)</f>
        <v>1876.7650872718391</v>
      </c>
      <c r="V23" s="74">
        <f ca="1">+'Units Sold'!R72*IF('Product Masses'!P16="X",0,'Product Masses'!P16)*VLOOKUP($F$4,Conversions!$B$7:$C$10,2,FALSE)</f>
        <v>146.3198587098332</v>
      </c>
      <c r="W23" s="74">
        <f ca="1">+'Units Sold'!S72*IF('Product Masses'!Q16="X",0,'Product Masses'!Q16)*VLOOKUP($F$4,Conversions!$B$7:$C$10,2,FALSE)</f>
        <v>0</v>
      </c>
      <c r="X23" s="74">
        <f ca="1">+'Units Sold'!T72*IF('Product Masses'!R16="X",0,'Product Masses'!R16)*VLOOKUP($F$4,Conversions!$B$7:$C$10,2,FALSE)</f>
        <v>0</v>
      </c>
    </row>
    <row r="24" spans="2:28" s="1" customFormat="1" x14ac:dyDescent="0.5">
      <c r="B24" s="3"/>
      <c r="C24" s="2" t="s">
        <v>48</v>
      </c>
      <c r="E24" s="2"/>
      <c r="F24" s="2"/>
      <c r="G24" s="99">
        <f ca="1">'On or Off Premise'!J18*$I$5</f>
        <v>1816.9872</v>
      </c>
      <c r="H24" s="99">
        <f ca="1">+SUM(O24,U24:X24)</f>
        <v>8051.5952169980055</v>
      </c>
      <c r="I24" s="305">
        <f t="shared" ca="1" si="3"/>
        <v>3.898869239211164E-2</v>
      </c>
      <c r="J24" s="112"/>
      <c r="K24" s="74">
        <f ca="1">+'Units Sold'!G73*IF('Product Masses'!G17="X",0,'Product Masses'!G17)*VLOOKUP($F$4,Conversions!$B$7:$C$10,2,FALSE)</f>
        <v>0</v>
      </c>
      <c r="L24" s="74">
        <f ca="1">+'Units Sold'!H73*IF('Product Masses'!H17="X",0,'Product Masses'!H17)*VLOOKUP($F$4,Conversions!$B$7:$C$10,2,FALSE)</f>
        <v>0</v>
      </c>
      <c r="M24" s="74">
        <f ca="1">+'Units Sold'!I73*IF('Product Masses'!I17="X",0,'Product Masses'!I17)*VLOOKUP($F$4,Conversions!$B$7:$C$10,2,FALSE)</f>
        <v>0</v>
      </c>
      <c r="N24" s="74">
        <f ca="1">+'Units Sold'!J73*IF('Product Masses'!J17="X",0,'Product Masses'!J17)*VLOOKUP($F$4,Conversions!$B$7:$C$10,2,FALSE)</f>
        <v>0</v>
      </c>
      <c r="O24" s="137">
        <f ca="1">SUM(K24:N24)</f>
        <v>0</v>
      </c>
      <c r="P24" s="136">
        <f ca="1">+'Units Sold'!L73*IF('Product Masses'!K17="X",0,'Product Masses'!K17)*VLOOKUP($F$4,Conversions!$B$7:$C$10,2,FALSE)</f>
        <v>7403.3887762091745</v>
      </c>
      <c r="Q24" s="74">
        <f ca="1">+'Units Sold'!M73*IF('Product Masses'!L17="X",0,'Product Masses'!L17)*VLOOKUP($F$4,Conversions!$B$7:$C$10,2,FALSE)</f>
        <v>0</v>
      </c>
      <c r="R24" s="74">
        <f ca="1">+'Units Sold'!N73*IF('Product Masses'!M17="X",0,'Product Masses'!M17)*VLOOKUP($F$4,Conversions!$B$7:$C$10,2,FALSE)</f>
        <v>139.45058559662195</v>
      </c>
      <c r="S24" s="74">
        <f ca="1">+'Units Sold'!O73*IF('Product Masses'!N17="X",0,'Product Masses'!N17)*VLOOKUP($F$4,Conversions!$B$7:$C$10,2,FALSE)</f>
        <v>0</v>
      </c>
      <c r="T24" s="74">
        <f ca="1">+'Units Sold'!P73*IF('Product Masses'!O17="X",0,'Product Masses'!O17)*VLOOKUP($F$4,Conversions!$B$7:$C$10,2,FALSE)</f>
        <v>0</v>
      </c>
      <c r="U24" s="137">
        <f t="shared" ca="1" si="4"/>
        <v>7542.8393618057962</v>
      </c>
      <c r="V24" s="74">
        <f ca="1">+'Units Sold'!R73*IF('Product Masses'!P17="X",0,'Product Masses'!P17)*VLOOKUP($F$4,Conversions!$B$7:$C$10,2,FALSE)</f>
        <v>508.75585519220891</v>
      </c>
      <c r="W24" s="74">
        <f ca="1">+'Units Sold'!S73*IF('Product Masses'!Q17="X",0,'Product Masses'!Q17)*VLOOKUP($F$4,Conversions!$B$7:$C$10,2,FALSE)</f>
        <v>0</v>
      </c>
      <c r="X24" s="74">
        <f ca="1">+'Units Sold'!T73*IF('Product Masses'!R17="X",0,'Product Masses'!R17)*VLOOKUP($F$4,Conversions!$B$7:$C$10,2,FALSE)</f>
        <v>0</v>
      </c>
    </row>
    <row r="25" spans="2:28" s="1" customFormat="1" x14ac:dyDescent="0.5">
      <c r="B25" s="2" t="s">
        <v>46</v>
      </c>
      <c r="C25" s="2"/>
      <c r="E25" s="2"/>
      <c r="F25" s="2"/>
      <c r="G25" s="99">
        <f ca="1">'On or Off Premise'!J19*$I$5</f>
        <v>849.74160000000006</v>
      </c>
      <c r="H25" s="99">
        <f ca="1">+SUM(O25,U25:X25)</f>
        <v>1680.234700616774</v>
      </c>
      <c r="I25" s="305">
        <f t="shared" ca="1" si="3"/>
        <v>8.1362949978655667E-3</v>
      </c>
      <c r="J25" s="112"/>
      <c r="K25" s="74">
        <f ca="1">+'Units Sold'!G74*IF('Product Masses'!G18="X",0,'Product Masses'!G18)*VLOOKUP($F$4,Conversions!$B$7:$C$10,2,FALSE)</f>
        <v>0</v>
      </c>
      <c r="L25" s="74">
        <f ca="1">+'Units Sold'!H74*IF('Product Masses'!H18="X",0,'Product Masses'!H18)*VLOOKUP($F$4,Conversions!$B$7:$C$10,2,FALSE)</f>
        <v>0</v>
      </c>
      <c r="M25" s="74">
        <f ca="1">+'Units Sold'!I74*IF('Product Masses'!I18="X",0,'Product Masses'!I18)*VLOOKUP($F$4,Conversions!$B$7:$C$10,2,FALSE)</f>
        <v>0</v>
      </c>
      <c r="N25" s="74">
        <f ca="1">+'Units Sold'!J74*IF('Product Masses'!J18="X",0,'Product Masses'!J18)*VLOOKUP($F$4,Conversions!$B$7:$C$10,2,FALSE)</f>
        <v>0</v>
      </c>
      <c r="O25" s="137">
        <f ca="1">SUM(K25:N25)</f>
        <v>0</v>
      </c>
      <c r="P25" s="136">
        <f ca="1">+'Units Sold'!L74*IF('Product Masses'!K18="X",0,'Product Masses'!K18)*VLOOKUP($F$4,Conversions!$B$7:$C$10,2,FALSE)</f>
        <v>1556.8098692694725</v>
      </c>
      <c r="Q25" s="74">
        <f ca="1">+'Units Sold'!M74*IF('Product Masses'!L18="X",0,'Product Masses'!L18)*VLOOKUP($F$4,Conversions!$B$7:$C$10,2,FALSE)</f>
        <v>0</v>
      </c>
      <c r="R25" s="74">
        <f ca="1">+'Units Sold'!N74*IF('Product Masses'!M18="X",0,'Product Masses'!M18)*VLOOKUP($F$4,Conversions!$B$7:$C$10,2,FALSE)</f>
        <v>0</v>
      </c>
      <c r="S25" s="74">
        <f ca="1">+'Units Sold'!O74*IF('Product Masses'!N18="X",0,'Product Masses'!N18)*VLOOKUP($F$4,Conversions!$B$7:$C$10,2,FALSE)</f>
        <v>0</v>
      </c>
      <c r="T25" s="74">
        <f ca="1">+'Units Sold'!P74*IF('Product Masses'!O18="X",0,'Product Masses'!O18)*VLOOKUP($F$4,Conversions!$B$7:$C$10,2,FALSE)</f>
        <v>0</v>
      </c>
      <c r="U25" s="137">
        <f t="shared" ca="1" si="4"/>
        <v>1556.8098692694725</v>
      </c>
      <c r="V25" s="74">
        <f ca="1">+'Units Sold'!R74*IF('Product Masses'!P18="X",0,'Product Masses'!P18)*VLOOKUP($F$4,Conversions!$B$7:$C$10,2,FALSE)</f>
        <v>123.42483134730141</v>
      </c>
      <c r="W25" s="74">
        <f ca="1">+'Units Sold'!S74*IF('Product Masses'!Q18="X",0,'Product Masses'!Q18)*VLOOKUP($F$4,Conversions!$B$7:$C$10,2,FALSE)</f>
        <v>0</v>
      </c>
      <c r="X25" s="74">
        <f ca="1">+'Units Sold'!T74*IF('Product Masses'!R18="X",0,'Product Masses'!R18)*VLOOKUP($F$4,Conversions!$B$7:$C$10,2,FALSE)</f>
        <v>0</v>
      </c>
    </row>
    <row r="26" spans="2:28" s="1" customFormat="1" x14ac:dyDescent="0.5">
      <c r="B26" s="47" t="s">
        <v>8</v>
      </c>
      <c r="C26" s="48"/>
      <c r="D26" s="48"/>
      <c r="E26" s="47"/>
      <c r="F26" s="47"/>
      <c r="G26" s="101">
        <f ca="1">'On or Off Premise'!J20*$I$5</f>
        <v>234.43680000000001</v>
      </c>
      <c r="H26" s="101">
        <f ca="1">+SUM(O26,U26:X26)</f>
        <v>4039.5201521752588</v>
      </c>
      <c r="I26" s="307">
        <f t="shared" ca="1" si="3"/>
        <v>1.9560795641142346E-2</v>
      </c>
      <c r="J26" s="112"/>
      <c r="K26" s="49">
        <f ca="1">+'Units Sold'!G75*IF('Product Masses'!G19="X",0,'Product Masses'!G19)*VLOOKUP($F$4,Conversions!$B$7:$C$10,2,FALSE)</f>
        <v>0</v>
      </c>
      <c r="L26" s="49">
        <f ca="1">+'Units Sold'!H75*IF('Product Masses'!H19="X",0,'Product Masses'!H19)*VLOOKUP($F$4,Conversions!$B$7:$C$10,2,FALSE)</f>
        <v>0</v>
      </c>
      <c r="M26" s="49">
        <f ca="1">+'Units Sold'!I75*IF('Product Masses'!I19="X",0,'Product Masses'!I19)*VLOOKUP($F$4,Conversions!$B$7:$C$10,2,FALSE)</f>
        <v>51.693257417891182</v>
      </c>
      <c r="N26" s="49">
        <f ca="1">+'Units Sold'!J75*IF('Product Masses'!J19="X",0,'Product Masses'!J19)*VLOOKUP($F$4,Conversions!$B$7:$C$10,2,FALSE)</f>
        <v>0</v>
      </c>
      <c r="O26" s="144">
        <f ca="1">SUM(K26:N26)</f>
        <v>51.693257417891182</v>
      </c>
      <c r="P26" s="143">
        <f ca="1">+'Units Sold'!L75*IF('Product Masses'!K19="X",0,'Product Masses'!K19)*VLOOKUP($F$4,Conversions!$B$7:$C$10,2,FALSE)</f>
        <v>1434.751634455755</v>
      </c>
      <c r="Q26" s="49">
        <f ca="1">+'Units Sold'!M75*IF('Product Masses'!L19="X",0,'Product Masses'!L19)*VLOOKUP($F$4,Conversions!$B$7:$C$10,2,FALSE)</f>
        <v>2465.1734961091556</v>
      </c>
      <c r="R26" s="49">
        <f ca="1">+'Units Sold'!N75*IF('Product Masses'!M19="X",0,'Product Masses'!M19)*VLOOKUP($F$4,Conversions!$B$7:$C$10,2,FALSE)</f>
        <v>66.667891511169174</v>
      </c>
      <c r="S26" s="49">
        <f ca="1">+'Units Sold'!O75*IF('Product Masses'!N19="X",0,'Product Masses'!N19)*VLOOKUP($F$4,Conversions!$B$7:$C$10,2,FALSE)</f>
        <v>0</v>
      </c>
      <c r="T26" s="49">
        <f ca="1">+'Units Sold'!P75*IF('Product Masses'!O19="X",0,'Product Masses'!O19)*VLOOKUP($F$4,Conversions!$B$7:$C$10,2,FALSE)</f>
        <v>0</v>
      </c>
      <c r="U26" s="144">
        <f t="shared" ca="1" si="4"/>
        <v>3966.5930220760797</v>
      </c>
      <c r="V26" s="49">
        <f ca="1">+'Units Sold'!R75*IF('Product Masses'!P19="X",0,'Product Masses'!P19)*VLOOKUP($F$4,Conversions!$B$7:$C$10,2,FALSE)</f>
        <v>21.233872681287512</v>
      </c>
      <c r="W26" s="49">
        <f ca="1">+'Units Sold'!S75*IF('Product Masses'!Q19="X",0,'Product Masses'!Q19)*VLOOKUP($F$4,Conversions!$B$7:$C$10,2,FALSE)</f>
        <v>0</v>
      </c>
      <c r="X26" s="49">
        <f ca="1">+'Units Sold'!T75*IF('Product Masses'!R19="X",0,'Product Masses'!R19)*VLOOKUP($F$4,Conversions!$B$7:$C$10,2,FALSE)</f>
        <v>0</v>
      </c>
    </row>
    <row r="27" spans="2:28" s="43" customFormat="1" x14ac:dyDescent="0.5">
      <c r="B27" s="44" t="s">
        <v>35</v>
      </c>
      <c r="E27" s="44"/>
      <c r="F27" s="44"/>
      <c r="G27" s="102">
        <f ca="1">SUM(G23:G26)</f>
        <v>3365.6736000000005</v>
      </c>
      <c r="H27" s="103">
        <f ca="1">SUM(H23:H26)</f>
        <v>15794.435015771711</v>
      </c>
      <c r="I27" s="308">
        <f t="shared" ca="1" si="3"/>
        <v>7.648228105619044E-2</v>
      </c>
      <c r="J27" s="113"/>
      <c r="K27" s="152">
        <f ca="1">SUM(K23:K26)</f>
        <v>0</v>
      </c>
      <c r="L27" s="152">
        <f t="shared" ref="L27:X27" ca="1" si="5">SUM(L23:L26)</f>
        <v>0</v>
      </c>
      <c r="M27" s="152">
        <f ca="1">SUM(M23:M26)</f>
        <v>51.693257417891182</v>
      </c>
      <c r="N27" s="152">
        <f ca="1">SUM(N23:N26)</f>
        <v>0</v>
      </c>
      <c r="O27" s="137">
        <f t="shared" ca="1" si="5"/>
        <v>51.693257417891182</v>
      </c>
      <c r="P27" s="151">
        <f t="shared" ca="1" si="5"/>
        <v>10394.950279934403</v>
      </c>
      <c r="Q27" s="152">
        <f t="shared" ca="1" si="5"/>
        <v>2465.1734961091556</v>
      </c>
      <c r="R27" s="152">
        <f t="shared" ca="1" si="5"/>
        <v>2082.8835643796301</v>
      </c>
      <c r="S27" s="152">
        <f ca="1">SUM(S23:S26)</f>
        <v>0</v>
      </c>
      <c r="T27" s="152">
        <f t="shared" ca="1" si="5"/>
        <v>0</v>
      </c>
      <c r="U27" s="137">
        <f t="shared" ca="1" si="5"/>
        <v>14943.007340423188</v>
      </c>
      <c r="V27" s="152">
        <f t="shared" ca="1" si="5"/>
        <v>799.73441793063103</v>
      </c>
      <c r="W27" s="152">
        <f t="shared" ca="1" si="5"/>
        <v>0</v>
      </c>
      <c r="X27" s="152">
        <f t="shared" ca="1" si="5"/>
        <v>0</v>
      </c>
      <c r="Y27" s="1"/>
    </row>
    <row r="28" spans="2:28" s="1" customFormat="1" ht="7.1" customHeight="1" x14ac:dyDescent="0.5">
      <c r="B28" s="3"/>
      <c r="E28" s="2"/>
      <c r="F28" s="2"/>
      <c r="G28" s="100"/>
      <c r="H28" s="100"/>
      <c r="I28" s="100"/>
      <c r="J28" s="112"/>
      <c r="K28" s="74"/>
      <c r="L28" s="74"/>
      <c r="M28" s="74"/>
      <c r="N28" s="74"/>
      <c r="O28" s="137"/>
      <c r="P28" s="136"/>
      <c r="Q28" s="74"/>
      <c r="R28" s="74"/>
      <c r="S28" s="74"/>
      <c r="T28" s="74"/>
      <c r="U28" s="137"/>
      <c r="V28" s="74"/>
      <c r="W28" s="74"/>
      <c r="X28" s="74"/>
    </row>
    <row r="29" spans="2:28" s="1" customFormat="1" x14ac:dyDescent="0.5">
      <c r="B29" s="7" t="s">
        <v>23</v>
      </c>
      <c r="C29" s="9"/>
      <c r="D29" s="9"/>
      <c r="E29" s="9"/>
      <c r="F29" s="9"/>
      <c r="G29" s="105"/>
      <c r="H29" s="107"/>
      <c r="I29" s="107"/>
      <c r="J29" s="112"/>
      <c r="K29" s="140"/>
      <c r="L29" s="140"/>
      <c r="M29" s="140"/>
      <c r="N29" s="140"/>
      <c r="O29" s="141"/>
      <c r="P29" s="139"/>
      <c r="Q29" s="140"/>
      <c r="R29" s="140"/>
      <c r="S29" s="140"/>
      <c r="T29" s="140"/>
      <c r="U29" s="141"/>
      <c r="V29" s="140"/>
      <c r="W29" s="140"/>
      <c r="X29" s="140"/>
    </row>
    <row r="30" spans="2:28" s="1" customFormat="1" x14ac:dyDescent="0.5">
      <c r="B30" s="2" t="s">
        <v>45</v>
      </c>
      <c r="C30" s="2"/>
      <c r="F30" s="2"/>
      <c r="G30" s="99">
        <f ca="1">'On or Off Premise'!J24*$I$5</f>
        <v>980.3832000000001</v>
      </c>
      <c r="H30" s="99">
        <f ca="1">+SUM(O30,U30:X30)</f>
        <v>36142.399567291664</v>
      </c>
      <c r="I30" s="305">
        <f t="shared" ref="I30:I32" ca="1" si="6">H30/$H$61</f>
        <v>0.17501437430275035</v>
      </c>
      <c r="J30" s="112"/>
      <c r="K30" s="74">
        <f ca="1">+'Units Sold'!G79*IF('Product Masses'!G22="X",0,'Product Masses'!G22)*VLOOKUP($F$4,Conversions!$B$7:$C$10,2,FALSE)</f>
        <v>0</v>
      </c>
      <c r="L30" s="74">
        <f ca="1">+'Units Sold'!H79*IF('Product Masses'!H22="X",0,'Product Masses'!H22)*VLOOKUP($F$4,Conversions!$B$7:$C$10,2,FALSE)</f>
        <v>29159.219428135246</v>
      </c>
      <c r="M30" s="74">
        <f ca="1">+'Units Sold'!I79*IF('Product Masses'!I22="X",0,'Product Masses'!I22)*VLOOKUP($F$4,Conversions!$B$7:$C$10,2,FALSE)</f>
        <v>0</v>
      </c>
      <c r="N30" s="74">
        <f ca="1">+'Units Sold'!J79*IF('Product Masses'!J22="X",0,'Product Masses'!J22)*VLOOKUP($F$4,Conversions!$B$7:$C$10,2,FALSE)</f>
        <v>0</v>
      </c>
      <c r="O30" s="137">
        <f ca="1">SUM(K30:N30)</f>
        <v>29159.219428135246</v>
      </c>
      <c r="P30" s="136">
        <f ca="1">+'Units Sold'!L79*IF('Product Masses'!K22="X",0,'Product Masses'!K22)*VLOOKUP($F$4,Conversions!$B$7:$C$10,2,FALSE)</f>
        <v>0</v>
      </c>
      <c r="Q30" s="74">
        <f ca="1">+'Units Sold'!M79*IF('Product Masses'!L22="X",0,'Product Masses'!L22)*VLOOKUP($F$4,Conversions!$B$7:$C$10,2,FALSE)</f>
        <v>0</v>
      </c>
      <c r="R30" s="74">
        <f ca="1">+'Units Sold'!N79*IF('Product Masses'!M22="X",0,'Product Masses'!M22)*VLOOKUP($F$4,Conversions!$B$7:$C$10,2,FALSE)</f>
        <v>0</v>
      </c>
      <c r="S30" s="74">
        <f ca="1">+'Units Sold'!O79*IF('Product Masses'!N22="X",0,'Product Masses'!N22)*VLOOKUP($F$4,Conversions!$B$7:$C$10,2,FALSE)</f>
        <v>0</v>
      </c>
      <c r="T30" s="74">
        <f ca="1">+'Units Sold'!P79*IF('Product Masses'!O22="X",0,'Product Masses'!O22)*VLOOKUP($F$4,Conversions!$B$7:$C$10,2,FALSE)</f>
        <v>6983.1801391564159</v>
      </c>
      <c r="U30" s="137">
        <f t="shared" ref="U30:U31" ca="1" si="7">SUM(P30:T30)</f>
        <v>6983.1801391564159</v>
      </c>
      <c r="V30" s="74">
        <f ca="1">+'Units Sold'!R79*IF('Product Masses'!P22="X",0,'Product Masses'!P22)*VLOOKUP($F$4,Conversions!$B$7:$C$10,2,FALSE)</f>
        <v>0</v>
      </c>
      <c r="W30" s="74">
        <f ca="1">+'Units Sold'!S79*IF('Product Masses'!Q22="X",0,'Product Masses'!Q22)*VLOOKUP($F$4,Conversions!$B$7:$C$10,2,FALSE)</f>
        <v>0</v>
      </c>
      <c r="X30" s="74">
        <f ca="1">+'Units Sold'!T79*IF('Product Masses'!R22="X",0,'Product Masses'!R22)*VLOOKUP($F$4,Conversions!$B$7:$C$10,2,FALSE)</f>
        <v>0</v>
      </c>
    </row>
    <row r="31" spans="2:28" s="1" customFormat="1" x14ac:dyDescent="0.5">
      <c r="B31" s="47" t="s">
        <v>9</v>
      </c>
      <c r="C31" s="48"/>
      <c r="D31" s="48"/>
      <c r="E31" s="47"/>
      <c r="F31" s="47"/>
      <c r="G31" s="101">
        <f ca="1">'On or Off Premise'!J25*$I$5</f>
        <v>51.612000000000002</v>
      </c>
      <c r="H31" s="101">
        <f ca="1">+SUM(O31,U31:X31)</f>
        <v>280.09645127039801</v>
      </c>
      <c r="I31" s="307">
        <f t="shared" ca="1" si="6"/>
        <v>1.3563268003896648E-3</v>
      </c>
      <c r="J31" s="112"/>
      <c r="K31" s="49">
        <f ca="1">+'Units Sold'!G80*IF('Product Masses'!G23="X",0,'Product Masses'!G23)*VLOOKUP($F$4,Conversions!$B$7:$C$10,2,FALSE)</f>
        <v>280.09645127039801</v>
      </c>
      <c r="L31" s="49">
        <f ca="1">+'Units Sold'!H80*IF('Product Masses'!H23="X",0,'Product Masses'!H23)*VLOOKUP($F$4,Conversions!$B$7:$C$10,2,FALSE)</f>
        <v>0</v>
      </c>
      <c r="M31" s="49">
        <f ca="1">+'Units Sold'!I80*IF('Product Masses'!I23="X",0,'Product Masses'!I23)*VLOOKUP($F$4,Conversions!$B$7:$C$10,2,FALSE)</f>
        <v>0</v>
      </c>
      <c r="N31" s="49">
        <f ca="1">+'Units Sold'!J80*IF('Product Masses'!J23="X",0,'Product Masses'!J23)*VLOOKUP($F$4,Conversions!$B$7:$C$10,2,FALSE)</f>
        <v>0</v>
      </c>
      <c r="O31" s="144">
        <f ca="1">SUM(K31:N31)</f>
        <v>280.09645127039801</v>
      </c>
      <c r="P31" s="143">
        <f ca="1">+'Units Sold'!L80*IF('Product Masses'!K23="X",0,'Product Masses'!K23)*VLOOKUP($F$4,Conversions!$B$7:$C$10,2,FALSE)</f>
        <v>0</v>
      </c>
      <c r="Q31" s="49">
        <f ca="1">+'Units Sold'!M80*IF('Product Masses'!L23="X",0,'Product Masses'!L23)*VLOOKUP($F$4,Conversions!$B$7:$C$10,2,FALSE)</f>
        <v>0</v>
      </c>
      <c r="R31" s="49">
        <f ca="1">+'Units Sold'!N80*IF('Product Masses'!M23="X",0,'Product Masses'!M23)*VLOOKUP($F$4,Conversions!$B$7:$C$10,2,FALSE)</f>
        <v>0</v>
      </c>
      <c r="S31" s="49">
        <f ca="1">+'Units Sold'!O80*IF('Product Masses'!N23="X",0,'Product Masses'!N23)*VLOOKUP($F$4,Conversions!$B$7:$C$10,2,FALSE)</f>
        <v>0</v>
      </c>
      <c r="T31" s="49">
        <f ca="1">+'Units Sold'!P80*IF('Product Masses'!O23="X",0,'Product Masses'!O23)*VLOOKUP($F$4,Conversions!$B$7:$C$10,2,FALSE)</f>
        <v>0</v>
      </c>
      <c r="U31" s="144">
        <f t="shared" ca="1" si="7"/>
        <v>0</v>
      </c>
      <c r="V31" s="49">
        <f ca="1">+'Units Sold'!R80*IF('Product Masses'!P23="X",0,'Product Masses'!P23)*VLOOKUP($F$4,Conversions!$B$7:$C$10,2,FALSE)</f>
        <v>0</v>
      </c>
      <c r="W31" s="49">
        <f ca="1">+'Units Sold'!S80*IF('Product Masses'!Q23="X",0,'Product Masses'!Q23)*VLOOKUP($F$4,Conversions!$B$7:$C$10,2,FALSE)</f>
        <v>0</v>
      </c>
      <c r="X31" s="49">
        <f ca="1">+'Units Sold'!T80*IF('Product Masses'!R23="X",0,'Product Masses'!R23)*VLOOKUP($F$4,Conversions!$B$7:$C$10,2,FALSE)</f>
        <v>0</v>
      </c>
    </row>
    <row r="32" spans="2:28" s="43" customFormat="1" x14ac:dyDescent="0.5">
      <c r="B32" s="44" t="s">
        <v>36</v>
      </c>
      <c r="E32" s="44"/>
      <c r="F32" s="44"/>
      <c r="G32" s="103">
        <f ca="1">SUM(G30:G31)</f>
        <v>1031.9952000000001</v>
      </c>
      <c r="H32" s="103">
        <f ca="1">SUM(H30:H31)</f>
        <v>36422.496018562066</v>
      </c>
      <c r="I32" s="308">
        <f t="shared" ca="1" si="6"/>
        <v>0.17637070110314004</v>
      </c>
      <c r="J32" s="113"/>
      <c r="K32" s="152">
        <f t="shared" ref="K32:V32" ca="1" si="8">SUM(K30:K31)</f>
        <v>280.09645127039801</v>
      </c>
      <c r="L32" s="152">
        <f t="shared" ca="1" si="8"/>
        <v>29159.219428135246</v>
      </c>
      <c r="M32" s="152">
        <f ca="1">SUM(M30:M31)</f>
        <v>0</v>
      </c>
      <c r="N32" s="152">
        <f ca="1">SUM(N30:N31)</f>
        <v>0</v>
      </c>
      <c r="O32" s="137">
        <f t="shared" ca="1" si="8"/>
        <v>29439.315879405643</v>
      </c>
      <c r="P32" s="151">
        <f t="shared" ca="1" si="8"/>
        <v>0</v>
      </c>
      <c r="Q32" s="152">
        <f t="shared" ca="1" si="8"/>
        <v>0</v>
      </c>
      <c r="R32" s="152">
        <f t="shared" ca="1" si="8"/>
        <v>0</v>
      </c>
      <c r="S32" s="152">
        <f ca="1">SUM(S30:S31)</f>
        <v>0</v>
      </c>
      <c r="T32" s="152">
        <f t="shared" ca="1" si="8"/>
        <v>6983.1801391564159</v>
      </c>
      <c r="U32" s="137">
        <f t="shared" ca="1" si="8"/>
        <v>6983.1801391564159</v>
      </c>
      <c r="V32" s="152">
        <f t="shared" ca="1" si="8"/>
        <v>0</v>
      </c>
      <c r="W32" s="152">
        <f t="shared" ref="W32:X32" ca="1" si="9">SUM(W30:W31)</f>
        <v>0</v>
      </c>
      <c r="X32" s="152">
        <f t="shared" ca="1" si="9"/>
        <v>0</v>
      </c>
      <c r="Y32" s="1"/>
    </row>
    <row r="33" spans="2:28" s="1" customFormat="1" ht="7.1" customHeight="1" x14ac:dyDescent="0.5">
      <c r="B33" s="3"/>
      <c r="G33" s="100"/>
      <c r="H33" s="100"/>
      <c r="I33" s="100"/>
      <c r="J33" s="112"/>
      <c r="K33" s="74"/>
      <c r="L33" s="74"/>
      <c r="M33" s="74"/>
      <c r="N33" s="74"/>
      <c r="O33" s="137"/>
      <c r="P33" s="136"/>
      <c r="Q33" s="74"/>
      <c r="R33" s="74"/>
      <c r="S33" s="74"/>
      <c r="T33" s="74"/>
      <c r="U33" s="137"/>
      <c r="V33" s="74"/>
      <c r="W33" s="74"/>
      <c r="X33" s="74"/>
    </row>
    <row r="34" spans="2:28" s="1" customFormat="1" x14ac:dyDescent="0.5">
      <c r="B34" s="7" t="s">
        <v>10</v>
      </c>
      <c r="C34" s="9"/>
      <c r="D34" s="9"/>
      <c r="E34" s="9"/>
      <c r="F34" s="9"/>
      <c r="G34" s="105"/>
      <c r="H34" s="105"/>
      <c r="I34" s="105"/>
      <c r="J34" s="112"/>
      <c r="K34" s="140"/>
      <c r="L34" s="140"/>
      <c r="M34" s="140"/>
      <c r="N34" s="140"/>
      <c r="O34" s="141"/>
      <c r="P34" s="139"/>
      <c r="Q34" s="140"/>
      <c r="R34" s="140"/>
      <c r="S34" s="140"/>
      <c r="T34" s="140"/>
      <c r="U34" s="141"/>
      <c r="V34" s="140"/>
      <c r="W34" s="140"/>
      <c r="X34" s="140"/>
    </row>
    <row r="35" spans="2:28" s="1" customFormat="1" x14ac:dyDescent="0.5">
      <c r="B35" s="2" t="s">
        <v>49</v>
      </c>
      <c r="G35" s="99">
        <f ca="1">'On or Off Premise'!J29*$I$5</f>
        <v>726.89280000000008</v>
      </c>
      <c r="H35" s="99">
        <f ca="1">+SUM(O35,U35:X35)</f>
        <v>8105.9425406735172</v>
      </c>
      <c r="I35" s="305">
        <f t="shared" ref="I35:I37" ca="1" si="10">H35/$H$61</f>
        <v>3.9251861494384151E-2</v>
      </c>
      <c r="J35" s="112"/>
      <c r="K35" s="74">
        <f ca="1">+'Units Sold'!G84*IF('Product Masses'!G26="X",0,'Product Masses'!G26)*VLOOKUP($F$4,Conversions!$B$7:$C$10,2,FALSE)</f>
        <v>6963.1293539585995</v>
      </c>
      <c r="L35" s="74">
        <f ca="1">+'Units Sold'!H84*IF('Product Masses'!H26="X",0,'Product Masses'!H26)*VLOOKUP($F$4,Conversions!$B$7:$C$10,2,FALSE)</f>
        <v>0</v>
      </c>
      <c r="M35" s="74">
        <f ca="1">+'Units Sold'!I84*IF('Product Masses'!I26="X",0,'Product Masses'!I26)*VLOOKUP($F$4,Conversions!$B$7:$C$10,2,FALSE)</f>
        <v>0</v>
      </c>
      <c r="N35" s="74">
        <f ca="1">+'Units Sold'!J84*IF('Product Masses'!J26="X",0,'Product Masses'!J26)*VLOOKUP($F$4,Conversions!$B$7:$C$10,2,FALSE)</f>
        <v>0</v>
      </c>
      <c r="O35" s="137">
        <f ca="1">SUM(K35:N35)</f>
        <v>6963.1293539585995</v>
      </c>
      <c r="P35" s="136">
        <f ca="1">+'Units Sold'!L84*IF('Product Masses'!K26="X",0,'Product Masses'!K26)*VLOOKUP($F$4,Conversions!$B$7:$C$10,2,FALSE)</f>
        <v>0</v>
      </c>
      <c r="Q35" s="74">
        <f ca="1">+'Units Sold'!M84*IF('Product Masses'!L26="X",0,'Product Masses'!L26)*VLOOKUP($F$4,Conversions!$B$7:$C$10,2,FALSE)</f>
        <v>0</v>
      </c>
      <c r="R35" s="74">
        <f ca="1">+'Units Sold'!N84*IF('Product Masses'!M26="X",0,'Product Masses'!M26)*VLOOKUP($F$4,Conversions!$B$7:$C$10,2,FALSE)</f>
        <v>0</v>
      </c>
      <c r="S35" s="74">
        <f ca="1">+'Units Sold'!O84*IF('Product Masses'!N26="X",0,'Product Masses'!N26)*VLOOKUP($F$4,Conversions!$B$7:$C$10,2,FALSE)</f>
        <v>1142.8131867149173</v>
      </c>
      <c r="T35" s="74">
        <f ca="1">+'Units Sold'!P84*IF('Product Masses'!O26="X",0,'Product Masses'!O26)*VLOOKUP($F$4,Conversions!$B$7:$C$10,2,FALSE)</f>
        <v>0</v>
      </c>
      <c r="U35" s="137">
        <f t="shared" ref="U35:U36" ca="1" si="11">SUM(P35:T35)</f>
        <v>1142.8131867149173</v>
      </c>
      <c r="V35" s="74">
        <f ca="1">+'Units Sold'!R84*IF('Product Masses'!P26="X",0,'Product Masses'!P26)*VLOOKUP($F$4,Conversions!$B$7:$C$10,2,FALSE)</f>
        <v>0</v>
      </c>
      <c r="W35" s="74">
        <f ca="1">+'Units Sold'!S84*IF('Product Masses'!Q26="X",0,'Product Masses'!Q26)*VLOOKUP($F$4,Conversions!$B$7:$C$10,2,FALSE)</f>
        <v>0</v>
      </c>
      <c r="X35" s="74">
        <f ca="1">+'Units Sold'!T84*IF('Product Masses'!R26="X",0,'Product Masses'!R26)*VLOOKUP($F$4,Conversions!$B$7:$C$10,2,FALSE)</f>
        <v>0</v>
      </c>
    </row>
    <row r="36" spans="2:28" s="1" customFormat="1" x14ac:dyDescent="0.5">
      <c r="B36" s="47" t="s">
        <v>7</v>
      </c>
      <c r="C36" s="48"/>
      <c r="D36" s="48"/>
      <c r="E36" s="48"/>
      <c r="F36" s="48"/>
      <c r="G36" s="101">
        <f ca="1">'On or Off Premise'!J30*$I$5</f>
        <v>2565.0144</v>
      </c>
      <c r="H36" s="101">
        <f ca="1">+SUM(O36,U36:X36)</f>
        <v>37117.173868645572</v>
      </c>
      <c r="I36" s="307">
        <f t="shared" ca="1" si="10"/>
        <v>0.17973457872969287</v>
      </c>
      <c r="J36" s="112"/>
      <c r="K36" s="49">
        <f ca="1">+'Units Sold'!G85*IF('Product Masses'!G27="X",0,'Product Masses'!G27)*VLOOKUP($F$4,Conversions!$B$7:$C$10,2,FALSE)</f>
        <v>13484.248350887076</v>
      </c>
      <c r="L36" s="49">
        <f ca="1">+'Units Sold'!H85*IF('Product Masses'!H27="X",0,'Product Masses'!H27)*VLOOKUP($F$4,Conversions!$B$7:$C$10,2,FALSE)</f>
        <v>0</v>
      </c>
      <c r="M36" s="49">
        <f ca="1">+'Units Sold'!I85*IF('Product Masses'!I27="X",0,'Product Masses'!I27)*VLOOKUP($F$4,Conversions!$B$7:$C$10,2,FALSE)</f>
        <v>0</v>
      </c>
      <c r="N36" s="49">
        <f ca="1">+'Units Sold'!J85*IF('Product Masses'!J27="X",0,'Product Masses'!J27)*VLOOKUP($F$4,Conversions!$B$7:$C$10,2,FALSE)</f>
        <v>0</v>
      </c>
      <c r="O36" s="144">
        <f ca="1">SUM(K36:N36)</f>
        <v>13484.248350887076</v>
      </c>
      <c r="P36" s="143">
        <f ca="1">+'Units Sold'!L85*IF('Product Masses'!K27="X",0,'Product Masses'!K27)*VLOOKUP($F$4,Conversions!$B$7:$C$10,2,FALSE)</f>
        <v>7566.7841411620348</v>
      </c>
      <c r="Q36" s="49">
        <f ca="1">+'Units Sold'!M85*IF('Product Masses'!L27="X",0,'Product Masses'!L27)*VLOOKUP($F$4,Conversions!$B$7:$C$10,2,FALSE)</f>
        <v>9343.0577794825094</v>
      </c>
      <c r="R36" s="49">
        <f ca="1">+'Units Sold'!N85*IF('Product Masses'!M27="X",0,'Product Masses'!M27)*VLOOKUP($F$4,Conversions!$B$7:$C$10,2,FALSE)</f>
        <v>261.59911775609839</v>
      </c>
      <c r="S36" s="49">
        <f ca="1">+'Units Sold'!O85*IF('Product Masses'!N27="X",0,'Product Masses'!N27)*VLOOKUP($F$4,Conversions!$B$7:$C$10,2,FALSE)</f>
        <v>5183.0827113129935</v>
      </c>
      <c r="T36" s="49">
        <f ca="1">+'Units Sold'!P85*IF('Product Masses'!O27="X",0,'Product Masses'!O27)*VLOOKUP($F$4,Conversions!$B$7:$C$10,2,FALSE)</f>
        <v>0</v>
      </c>
      <c r="U36" s="144">
        <f t="shared" ca="1" si="11"/>
        <v>22354.523749713633</v>
      </c>
      <c r="V36" s="49">
        <f ca="1">+'Units Sold'!R85*IF('Product Masses'!P27="X",0,'Product Masses'!P27)*VLOOKUP($F$4,Conversions!$B$7:$C$10,2,FALSE)</f>
        <v>1278.4017680448662</v>
      </c>
      <c r="W36" s="49">
        <f ca="1">+'Units Sold'!S85*IF('Product Masses'!Q27="X",0,'Product Masses'!Q27)*VLOOKUP($F$4,Conversions!$B$7:$C$10,2,FALSE)</f>
        <v>0</v>
      </c>
      <c r="X36" s="49">
        <f ca="1">+'Units Sold'!T85*IF('Product Masses'!R27="X",0,'Product Masses'!R27)*VLOOKUP($F$4,Conversions!$B$7:$C$10,2,FALSE)</f>
        <v>0</v>
      </c>
    </row>
    <row r="37" spans="2:28" s="43" customFormat="1" x14ac:dyDescent="0.5">
      <c r="B37" s="44" t="s">
        <v>57</v>
      </c>
      <c r="G37" s="102">
        <f ca="1">SUM(G35:G36)</f>
        <v>3291.9072000000001</v>
      </c>
      <c r="H37" s="102">
        <f ca="1">SUM(H35:H36)</f>
        <v>45223.116409319089</v>
      </c>
      <c r="I37" s="308">
        <f t="shared" ca="1" si="10"/>
        <v>0.21898644022407701</v>
      </c>
      <c r="J37" s="113"/>
      <c r="K37" s="152">
        <f t="shared" ref="K37:V37" ca="1" si="12">SUM(K35:K36)</f>
        <v>20447.377704845676</v>
      </c>
      <c r="L37" s="152">
        <f t="shared" ca="1" si="12"/>
        <v>0</v>
      </c>
      <c r="M37" s="152">
        <f ca="1">SUM(M35:M36)</f>
        <v>0</v>
      </c>
      <c r="N37" s="152">
        <f ca="1">SUM(N35:N36)</f>
        <v>0</v>
      </c>
      <c r="O37" s="137">
        <f t="shared" ca="1" si="12"/>
        <v>20447.377704845676</v>
      </c>
      <c r="P37" s="151">
        <f t="shared" ca="1" si="12"/>
        <v>7566.7841411620348</v>
      </c>
      <c r="Q37" s="152">
        <f t="shared" ca="1" si="12"/>
        <v>9343.0577794825094</v>
      </c>
      <c r="R37" s="152">
        <f t="shared" ca="1" si="12"/>
        <v>261.59911775609839</v>
      </c>
      <c r="S37" s="152">
        <f ca="1">SUM(S35:S36)</f>
        <v>6325.8958980279112</v>
      </c>
      <c r="T37" s="152">
        <f t="shared" ca="1" si="12"/>
        <v>0</v>
      </c>
      <c r="U37" s="137">
        <f t="shared" ca="1" si="12"/>
        <v>23497.33693642855</v>
      </c>
      <c r="V37" s="152">
        <f t="shared" ca="1" si="12"/>
        <v>1278.4017680448662</v>
      </c>
      <c r="W37" s="152">
        <f t="shared" ref="W37:X37" ca="1" si="13">SUM(W35:W36)</f>
        <v>0</v>
      </c>
      <c r="X37" s="152">
        <f t="shared" ca="1" si="13"/>
        <v>0</v>
      </c>
      <c r="Y37" s="316"/>
      <c r="Z37" s="317"/>
      <c r="AA37" s="317"/>
      <c r="AB37" s="317"/>
    </row>
    <row r="38" spans="2:28" s="1" customFormat="1" ht="7.1" customHeight="1" x14ac:dyDescent="0.5">
      <c r="B38" s="3"/>
      <c r="G38" s="109"/>
      <c r="H38" s="100"/>
      <c r="I38" s="100"/>
      <c r="J38" s="112"/>
      <c r="K38" s="74"/>
      <c r="L38" s="74"/>
      <c r="M38" s="74"/>
      <c r="N38" s="74"/>
      <c r="O38" s="137"/>
      <c r="P38" s="136"/>
      <c r="Q38" s="74"/>
      <c r="R38" s="74"/>
      <c r="S38" s="74"/>
      <c r="T38" s="74"/>
      <c r="U38" s="137"/>
      <c r="V38" s="74"/>
      <c r="W38" s="74"/>
      <c r="X38" s="74"/>
    </row>
    <row r="39" spans="2:28" s="1" customFormat="1" x14ac:dyDescent="0.5">
      <c r="B39" s="7" t="s">
        <v>24</v>
      </c>
      <c r="C39" s="9"/>
      <c r="D39" s="9"/>
      <c r="E39" s="9"/>
      <c r="F39" s="9"/>
      <c r="G39" s="105"/>
      <c r="H39" s="107"/>
      <c r="I39" s="107"/>
      <c r="J39" s="112"/>
      <c r="K39" s="140"/>
      <c r="L39" s="140"/>
      <c r="M39" s="140"/>
      <c r="N39" s="140"/>
      <c r="O39" s="141"/>
      <c r="P39" s="139"/>
      <c r="Q39" s="140"/>
      <c r="R39" s="140"/>
      <c r="S39" s="140"/>
      <c r="T39" s="140"/>
      <c r="U39" s="141"/>
      <c r="V39" s="140"/>
      <c r="W39" s="140"/>
      <c r="X39" s="140"/>
    </row>
    <row r="40" spans="2:28" s="1" customFormat="1" x14ac:dyDescent="0.5">
      <c r="B40" s="2" t="s">
        <v>12</v>
      </c>
      <c r="G40" s="108"/>
      <c r="H40" s="100"/>
      <c r="I40" s="100"/>
      <c r="J40" s="112"/>
      <c r="K40" s="74"/>
      <c r="L40" s="74"/>
      <c r="M40" s="74"/>
      <c r="N40" s="74"/>
      <c r="O40" s="137"/>
      <c r="P40" s="136"/>
      <c r="Q40" s="74"/>
      <c r="R40" s="74"/>
      <c r="S40" s="74"/>
      <c r="T40" s="74"/>
      <c r="U40" s="137"/>
      <c r="V40" s="74"/>
      <c r="W40" s="74"/>
      <c r="X40" s="74"/>
    </row>
    <row r="41" spans="2:28" s="1" customFormat="1" x14ac:dyDescent="0.5">
      <c r="B41" s="3"/>
      <c r="C41" s="2" t="s">
        <v>13</v>
      </c>
      <c r="D41" s="2"/>
      <c r="F41" s="2"/>
      <c r="G41" s="99">
        <f ca="1">'On or Off Premise'!J35*$I$5</f>
        <v>430.80720000000002</v>
      </c>
      <c r="H41" s="99">
        <f ca="1">+SUM(O41,U41:X41)</f>
        <v>6099.6297381796558</v>
      </c>
      <c r="I41" s="305">
        <f ca="1">H41/$H$61</f>
        <v>2.9536580163096141E-2</v>
      </c>
      <c r="J41" s="112"/>
      <c r="K41" s="74">
        <f ca="1">+'Units Sold'!G90*IF('Product Masses'!G31="X",0,'Product Masses'!G31)*VLOOKUP($F$4,Conversions!$B$7:$C$10,2,FALSE)</f>
        <v>1355.3767031563618</v>
      </c>
      <c r="L41" s="74">
        <f ca="1">+'Units Sold'!H90*IF('Product Masses'!H31="X",0,'Product Masses'!H31)*VLOOKUP($F$4,Conversions!$B$7:$C$10,2,FALSE)</f>
        <v>0</v>
      </c>
      <c r="M41" s="74">
        <f ca="1">+'Units Sold'!I90*IF('Product Masses'!I31="X",0,'Product Masses'!I31)*VLOOKUP($F$4,Conversions!$B$7:$C$10,2,FALSE)</f>
        <v>2015.6369651387624</v>
      </c>
      <c r="N41" s="74">
        <f ca="1">+'Units Sold'!J90*IF('Product Masses'!J31="X",0,'Product Masses'!J31)*VLOOKUP($F$4,Conversions!$B$7:$C$10,2,FALSE)</f>
        <v>2040.4239208889435</v>
      </c>
      <c r="O41" s="137">
        <f ca="1">SUM(K41:N41)</f>
        <v>5411.4375891840682</v>
      </c>
      <c r="P41" s="136">
        <f ca="1">+'Units Sold'!L90*IF('Product Masses'!K31="X",0,'Product Masses'!K31)*VLOOKUP($F$4,Conversions!$B$7:$C$10,2,FALSE)</f>
        <v>0</v>
      </c>
      <c r="Q41" s="74">
        <f ca="1">+'Units Sold'!M90*IF('Product Masses'!L31="X",0,'Product Masses'!L31)*VLOOKUP($F$4,Conversions!$B$7:$C$10,2,FALSE)</f>
        <v>0</v>
      </c>
      <c r="R41" s="74">
        <f ca="1">+'Units Sold'!N90*IF('Product Masses'!M31="X",0,'Product Masses'!M31)*VLOOKUP($F$4,Conversions!$B$7:$C$10,2,FALSE)</f>
        <v>0</v>
      </c>
      <c r="S41" s="74">
        <f ca="1">+'Units Sold'!O90*IF('Product Masses'!N31="X",0,'Product Masses'!N31)*VLOOKUP($F$4,Conversions!$B$7:$C$10,2,FALSE)</f>
        <v>688.1921489955879</v>
      </c>
      <c r="T41" s="74">
        <f ca="1">+'Units Sold'!P90*IF('Product Masses'!O31="X",0,'Product Masses'!O31)*VLOOKUP($F$4,Conversions!$B$7:$C$10,2,FALSE)</f>
        <v>0</v>
      </c>
      <c r="U41" s="137">
        <f ca="1">SUM(P41:T41)</f>
        <v>688.1921489955879</v>
      </c>
      <c r="V41" s="74">
        <f ca="1">+'Units Sold'!R90*IF('Product Masses'!P31="X",0,'Product Masses'!P31)*VLOOKUP($F$4,Conversions!$B$7:$C$10,2,FALSE)</f>
        <v>0</v>
      </c>
      <c r="W41" s="74">
        <f ca="1">+'Units Sold'!S90*IF('Product Masses'!Q31="X",0,'Product Masses'!Q31)*VLOOKUP($F$4,Conversions!$B$7:$C$10,2,FALSE)</f>
        <v>0</v>
      </c>
      <c r="X41" s="74">
        <f ca="1">+'Units Sold'!T90*IF('Product Masses'!R31="X",0,'Product Masses'!R31)*VLOOKUP($F$4,Conversions!$B$7:$C$10,2,FALSE)</f>
        <v>0</v>
      </c>
    </row>
    <row r="42" spans="2:28" s="1" customFormat="1" x14ac:dyDescent="0.5">
      <c r="B42" s="1" t="s">
        <v>14</v>
      </c>
      <c r="G42" s="100"/>
      <c r="H42" s="100"/>
      <c r="I42" s="100"/>
      <c r="J42" s="112"/>
      <c r="K42" s="74"/>
      <c r="L42" s="74"/>
      <c r="M42" s="74"/>
      <c r="N42" s="74"/>
      <c r="O42" s="137"/>
      <c r="P42" s="136"/>
      <c r="Q42" s="74"/>
      <c r="R42" s="74"/>
      <c r="S42" s="74"/>
      <c r="T42" s="74"/>
      <c r="U42" s="137"/>
      <c r="V42" s="74"/>
      <c r="W42" s="74"/>
      <c r="X42" s="74"/>
    </row>
    <row r="43" spans="2:28" s="1" customFormat="1" x14ac:dyDescent="0.5">
      <c r="C43" s="2" t="s">
        <v>15</v>
      </c>
      <c r="G43" s="99">
        <f ca="1">'On or Off Premise'!J37*$I$5</f>
        <v>1688.2224000000003</v>
      </c>
      <c r="H43" s="99">
        <f ca="1">+SUM(O43,U43:X43)</f>
        <v>5594.7357345560158</v>
      </c>
      <c r="I43" s="305">
        <f ca="1">H43/$H$61</f>
        <v>2.7091703530904575E-2</v>
      </c>
      <c r="J43" s="112"/>
      <c r="K43" s="74">
        <f ca="1">+'Units Sold'!G92*IF('Product Masses'!G33="X",0,'Product Masses'!G33)*VLOOKUP($F$4,Conversions!$B$7:$C$10,2,FALSE)</f>
        <v>0</v>
      </c>
      <c r="L43" s="74">
        <f ca="1">+'Units Sold'!H92*IF('Product Masses'!H33="X",0,'Product Masses'!H33)*VLOOKUP($F$4,Conversions!$B$7:$C$10,2,FALSE)</f>
        <v>0</v>
      </c>
      <c r="M43" s="74">
        <f ca="1">+'Units Sold'!I92*IF('Product Masses'!I33="X",0,'Product Masses'!I33)*VLOOKUP($F$4,Conversions!$B$7:$C$10,2,FALSE)</f>
        <v>0</v>
      </c>
      <c r="N43" s="74">
        <f ca="1">+'Units Sold'!J92*IF('Product Masses'!J33="X",0,'Product Masses'!J33)*VLOOKUP($F$4,Conversions!$B$7:$C$10,2,FALSE)</f>
        <v>0</v>
      </c>
      <c r="O43" s="137">
        <f ca="1">SUM(K43:N43)</f>
        <v>0</v>
      </c>
      <c r="P43" s="136">
        <f ca="1">+'Units Sold'!L92*IF('Product Masses'!K33="X",0,'Product Masses'!K33)*VLOOKUP($F$4,Conversions!$B$7:$C$10,2,FALSE)</f>
        <v>0</v>
      </c>
      <c r="Q43" s="74">
        <f ca="1">+'Units Sold'!M92*IF('Product Masses'!L33="X",0,'Product Masses'!L33)*VLOOKUP($F$4,Conversions!$B$7:$C$10,2,FALSE)</f>
        <v>1868.3536705709366</v>
      </c>
      <c r="R43" s="74">
        <f ca="1">+'Units Sold'!N92*IF('Product Masses'!M33="X",0,'Product Masses'!M33)*VLOOKUP($F$4,Conversions!$B$7:$C$10,2,FALSE)</f>
        <v>2967.104876545593</v>
      </c>
      <c r="S43" s="74">
        <f ca="1">+'Units Sold'!O92*IF('Product Masses'!N33="X",0,'Product Masses'!N33)*VLOOKUP($F$4,Conversions!$B$7:$C$10,2,FALSE)</f>
        <v>0</v>
      </c>
      <c r="T43" s="74">
        <f ca="1">+'Units Sold'!P92*IF('Product Masses'!O33="X",0,'Product Masses'!O33)*VLOOKUP($F$4,Conversions!$B$7:$C$10,2,FALSE)</f>
        <v>0</v>
      </c>
      <c r="U43" s="137">
        <f t="shared" ref="U43:U46" ca="1" si="14">SUM(P43:T43)</f>
        <v>4835.4585471165301</v>
      </c>
      <c r="V43" s="74">
        <f ca="1">+'Units Sold'!R92*IF('Product Masses'!P33="X",0,'Product Masses'!P33)*VLOOKUP($F$4,Conversions!$B$7:$C$10,2,FALSE)</f>
        <v>759.27718743948572</v>
      </c>
      <c r="W43" s="74">
        <f ca="1">+'Units Sold'!S92*IF('Product Masses'!Q33="X",0,'Product Masses'!Q33)*VLOOKUP($F$4,Conversions!$B$7:$C$10,2,FALSE)</f>
        <v>0</v>
      </c>
      <c r="X43" s="74">
        <f ca="1">+'Units Sold'!T92*IF('Product Masses'!R33="X",0,'Product Masses'!R33)*VLOOKUP($F$4,Conversions!$B$7:$C$10,2,FALSE)</f>
        <v>0</v>
      </c>
    </row>
    <row r="44" spans="2:28" s="1" customFormat="1" x14ac:dyDescent="0.5">
      <c r="C44" s="2" t="s">
        <v>16</v>
      </c>
      <c r="G44" s="99">
        <f ca="1">'On or Off Premise'!J38*$I$5</f>
        <v>528.88071373659614</v>
      </c>
      <c r="H44" s="99">
        <f ca="1">+SUM(O44,U44:X44)</f>
        <v>916.51353379701186</v>
      </c>
      <c r="I44" s="305">
        <f ca="1">H44/$H$61</f>
        <v>4.4380850352462222E-3</v>
      </c>
      <c r="J44" s="112"/>
      <c r="K44" s="74">
        <f ca="1">+'Units Sold'!G93*IF('Product Masses'!G34="X",0,'Product Masses'!G34)*VLOOKUP($F$4,Conversions!$B$7:$C$10,2,FALSE)</f>
        <v>42.891933753064833</v>
      </c>
      <c r="L44" s="74">
        <f ca="1">+'Units Sold'!H93*IF('Product Masses'!H34="X",0,'Product Masses'!H34)*VLOOKUP($F$4,Conversions!$B$7:$C$10,2,FALSE)</f>
        <v>42.891933753064833</v>
      </c>
      <c r="M44" s="74">
        <f ca="1">+'Units Sold'!I93*IF('Product Masses'!I34="X",0,'Product Masses'!I34)*VLOOKUP($F$4,Conversions!$B$7:$C$10,2,FALSE)</f>
        <v>0</v>
      </c>
      <c r="N44" s="74">
        <f ca="1">+'Units Sold'!J93*IF('Product Masses'!J34="X",0,'Product Masses'!J34)*VLOOKUP($F$4,Conversions!$B$7:$C$10,2,FALSE)</f>
        <v>0</v>
      </c>
      <c r="O44" s="137">
        <f ca="1">SUM(K44:N44)</f>
        <v>85.783867506129667</v>
      </c>
      <c r="P44" s="136">
        <f ca="1">+'Units Sold'!L93*IF('Product Masses'!K34="X",0,'Product Masses'!K34)*VLOOKUP($F$4,Conversions!$B$7:$C$10,2,FALSE)</f>
        <v>0</v>
      </c>
      <c r="Q44" s="74">
        <f ca="1">+'Units Sold'!M93*IF('Product Masses'!L34="X",0,'Product Masses'!L34)*VLOOKUP($F$4,Conversions!$B$7:$C$10,2,FALSE)</f>
        <v>642.88277705567918</v>
      </c>
      <c r="R44" s="74">
        <f ca="1">+'Units Sold'!N93*IF('Product Masses'!M34="X",0,'Product Masses'!M34)*VLOOKUP($F$4,Conversions!$B$7:$C$10,2,FALSE)</f>
        <v>0</v>
      </c>
      <c r="S44" s="74">
        <f ca="1">+'Units Sold'!O93*IF('Product Masses'!N34="X",0,'Product Masses'!N34)*VLOOKUP($F$4,Conversions!$B$7:$C$10,2,FALSE)</f>
        <v>0</v>
      </c>
      <c r="T44" s="74">
        <f ca="1">+'Units Sold'!P93*IF('Product Masses'!O34="X",0,'Product Masses'!O34)*VLOOKUP($F$4,Conversions!$B$7:$C$10,2,FALSE)</f>
        <v>0</v>
      </c>
      <c r="U44" s="137">
        <f t="shared" ca="1" si="14"/>
        <v>642.88277705567918</v>
      </c>
      <c r="V44" s="74">
        <f ca="1">+'Units Sold'!R93*IF('Product Masses'!P34="X",0,'Product Masses'!P34)*VLOOKUP($F$4,Conversions!$B$7:$C$10,2,FALSE)</f>
        <v>187.84688923520295</v>
      </c>
      <c r="W44" s="74">
        <f ca="1">+'Units Sold'!S93*IF('Product Masses'!Q34="X",0,'Product Masses'!Q34)*VLOOKUP($F$4,Conversions!$B$7:$C$10,2,FALSE)</f>
        <v>0</v>
      </c>
      <c r="X44" s="74">
        <f ca="1">+'Units Sold'!T93*IF('Product Masses'!R34="X",0,'Product Masses'!R34)*VLOOKUP($F$4,Conversions!$B$7:$C$10,2,FALSE)</f>
        <v>0</v>
      </c>
    </row>
    <row r="45" spans="2:28" s="1" customFormat="1" x14ac:dyDescent="0.5">
      <c r="C45" s="2" t="s">
        <v>17</v>
      </c>
      <c r="G45" s="99">
        <f ca="1">'On or Off Premise'!J39*$I$5</f>
        <v>41.084370857406512</v>
      </c>
      <c r="H45" s="99">
        <f ca="1">+SUM(O45,U45:X45)</f>
        <v>32.28200881635469</v>
      </c>
      <c r="I45" s="305">
        <f ca="1">H45/$H$61</f>
        <v>1.5632098703659915E-4</v>
      </c>
      <c r="J45" s="112"/>
      <c r="K45" s="74">
        <f ca="1">+'Units Sold'!G94*IF('Product Masses'!G35="X",0,'Product Masses'!G35)*VLOOKUP($F$4,Conversions!$B$7:$C$10,2,FALSE)</f>
        <v>0</v>
      </c>
      <c r="L45" s="74">
        <f ca="1">+'Units Sold'!H94*IF('Product Masses'!H35="X",0,'Product Masses'!H35)*VLOOKUP($F$4,Conversions!$B$7:$C$10,2,FALSE)</f>
        <v>0</v>
      </c>
      <c r="M45" s="74">
        <f ca="1">+'Units Sold'!I94*IF('Product Masses'!I35="X",0,'Product Masses'!I35)*VLOOKUP($F$4,Conversions!$B$7:$C$10,2,FALSE)</f>
        <v>0</v>
      </c>
      <c r="N45" s="74">
        <f ca="1">+'Units Sold'!J94*IF('Product Masses'!J35="X",0,'Product Masses'!J35)*VLOOKUP($F$4,Conversions!$B$7:$C$10,2,FALSE)</f>
        <v>0</v>
      </c>
      <c r="O45" s="137">
        <f ca="1">SUM(K45:N45)</f>
        <v>0</v>
      </c>
      <c r="P45" s="136">
        <f ca="1">+'Units Sold'!L94*IF('Product Masses'!K35="X",0,'Product Masses'!K35)*VLOOKUP($F$4,Conversions!$B$7:$C$10,2,FALSE)</f>
        <v>0</v>
      </c>
      <c r="Q45" s="74">
        <f ca="1">+'Units Sold'!M94*IF('Product Masses'!L35="X",0,'Product Masses'!L35)*VLOOKUP($F$4,Conversions!$B$7:$C$10,2,FALSE)</f>
        <v>7.4465340094995689</v>
      </c>
      <c r="R45" s="74">
        <f ca="1">+'Units Sold'!N94*IF('Product Masses'!M35="X",0,'Product Masses'!M35)*VLOOKUP($F$4,Conversions!$B$7:$C$10,2,FALSE)</f>
        <v>0</v>
      </c>
      <c r="S45" s="74">
        <f ca="1">+'Units Sold'!O94*IF('Product Masses'!N35="X",0,'Product Masses'!N35)*VLOOKUP($F$4,Conversions!$B$7:$C$10,2,FALSE)</f>
        <v>0</v>
      </c>
      <c r="T45" s="74">
        <f ca="1">+'Units Sold'!P94*IF('Product Masses'!O35="X",0,'Product Masses'!O35)*VLOOKUP($F$4,Conversions!$B$7:$C$10,2,FALSE)</f>
        <v>0</v>
      </c>
      <c r="U45" s="137">
        <f t="shared" ca="1" si="14"/>
        <v>7.4465340094995689</v>
      </c>
      <c r="V45" s="74">
        <f ca="1">+'Units Sold'!R94*IF('Product Masses'!P35="X",0,'Product Masses'!P35)*VLOOKUP($F$4,Conversions!$B$7:$C$10,2,FALSE)</f>
        <v>0</v>
      </c>
      <c r="W45" s="74">
        <f ca="1">+'Units Sold'!S94*IF('Product Masses'!Q35="X",0,'Product Masses'!Q35)*VLOOKUP($F$4,Conversions!$B$7:$C$10,2,FALSE)</f>
        <v>0</v>
      </c>
      <c r="X45" s="74">
        <f ca="1">+'Units Sold'!T94*IF('Product Masses'!R35="X",0,'Product Masses'!R35)*VLOOKUP($F$4,Conversions!$B$7:$C$10,2,FALSE)</f>
        <v>24.835474806855117</v>
      </c>
    </row>
    <row r="46" spans="2:28" s="1" customFormat="1" x14ac:dyDescent="0.5">
      <c r="B46" s="98"/>
      <c r="C46" s="47" t="s">
        <v>18</v>
      </c>
      <c r="D46" s="48"/>
      <c r="E46" s="48"/>
      <c r="F46" s="48"/>
      <c r="G46" s="101">
        <f ca="1">'On or Off Premise'!J40*$I$5</f>
        <v>24.449864085969146</v>
      </c>
      <c r="H46" s="101">
        <f ca="1">+SUM(O46,U46:X46)</f>
        <v>183.78127578620669</v>
      </c>
      <c r="I46" s="307">
        <f ca="1">H46/$H$61</f>
        <v>8.8993440876549996E-4</v>
      </c>
      <c r="J46" s="112"/>
      <c r="K46" s="49">
        <f ca="1">+'Units Sold'!G95*IF('Product Masses'!G36="X",0,'Product Masses'!G36)*VLOOKUP($F$4,Conversions!$B$7:$C$10,2,FALSE)</f>
        <v>0</v>
      </c>
      <c r="L46" s="49">
        <f ca="1">+'Units Sold'!H95*IF('Product Masses'!H36="X",0,'Product Masses'!H36)*VLOOKUP($F$4,Conversions!$B$7:$C$10,2,FALSE)</f>
        <v>0</v>
      </c>
      <c r="M46" s="49">
        <f ca="1">+'Units Sold'!I95*IF('Product Masses'!I36="X",0,'Product Masses'!I36)*VLOOKUP($F$4,Conversions!$B$7:$C$10,2,FALSE)</f>
        <v>0</v>
      </c>
      <c r="N46" s="49">
        <f ca="1">+'Units Sold'!J95*IF('Product Masses'!J36="X",0,'Product Masses'!J36)*VLOOKUP($F$4,Conversions!$B$7:$C$10,2,FALSE)</f>
        <v>0</v>
      </c>
      <c r="O46" s="144">
        <f ca="1">SUM(K46:N46)</f>
        <v>0</v>
      </c>
      <c r="P46" s="143">
        <f ca="1">+'Units Sold'!L95*IF('Product Masses'!K36="X",0,'Product Masses'!K36)*VLOOKUP($F$4,Conversions!$B$7:$C$10,2,FALSE)</f>
        <v>0</v>
      </c>
      <c r="Q46" s="49">
        <f ca="1">+'Units Sold'!M95*IF('Product Masses'!L36="X",0,'Product Masses'!L36)*VLOOKUP($F$4,Conversions!$B$7:$C$10,2,FALSE)</f>
        <v>0</v>
      </c>
      <c r="R46" s="49">
        <f ca="1">+'Units Sold'!N95*IF('Product Masses'!M36="X",0,'Product Masses'!M36)*VLOOKUP($F$4,Conversions!$B$7:$C$10,2,FALSE)</f>
        <v>0</v>
      </c>
      <c r="S46" s="49">
        <f ca="1">+'Units Sold'!O95*IF('Product Masses'!N36="X",0,'Product Masses'!N36)*VLOOKUP($F$4,Conversions!$B$7:$C$10,2,FALSE)</f>
        <v>0</v>
      </c>
      <c r="T46" s="49">
        <f ca="1">+'Units Sold'!P95*IF('Product Masses'!O36="X",0,'Product Masses'!O36)*VLOOKUP($F$4,Conversions!$B$7:$C$10,2,FALSE)</f>
        <v>0</v>
      </c>
      <c r="U46" s="144">
        <f t="shared" ca="1" si="14"/>
        <v>0</v>
      </c>
      <c r="V46" s="49">
        <f ca="1">+'Units Sold'!R95*IF('Product Masses'!P36="X",0,'Product Masses'!P36)*VLOOKUP($F$4,Conversions!$B$7:$C$10,2,FALSE)</f>
        <v>0</v>
      </c>
      <c r="W46" s="49">
        <f ca="1">+'Units Sold'!S95*IF('Product Masses'!Q36="X",0,'Product Masses'!Q36)*VLOOKUP($F$4,Conversions!$B$7:$C$10,2,FALSE)</f>
        <v>0</v>
      </c>
      <c r="X46" s="49">
        <f ca="1">+'Units Sold'!T95*IF('Product Masses'!R36="X",0,'Product Masses'!R36)*VLOOKUP($F$4,Conversions!$B$7:$C$10,2,FALSE)</f>
        <v>183.78127578620669</v>
      </c>
    </row>
    <row r="47" spans="2:28" s="43" customFormat="1" x14ac:dyDescent="0.5">
      <c r="B47" s="3" t="s">
        <v>37</v>
      </c>
      <c r="C47" s="44"/>
      <c r="G47" s="102">
        <f ca="1">+SUM(G41,G43:G46)</f>
        <v>2713.4445486799723</v>
      </c>
      <c r="H47" s="102">
        <f ca="1">+SUM(H41,H43:H46)</f>
        <v>12826.942291135245</v>
      </c>
      <c r="I47" s="308">
        <f ca="1">H47/$H$61</f>
        <v>6.2112624125049039E-2</v>
      </c>
      <c r="J47" s="113"/>
      <c r="K47" s="152">
        <f ca="1">+SUM(K41,K43:K46)</f>
        <v>1398.2686369094267</v>
      </c>
      <c r="L47" s="152">
        <f ca="1">+SUM(L41,L43:L46)</f>
        <v>42.891933753064833</v>
      </c>
      <c r="M47" s="152">
        <f ca="1">+SUM(M41,M43:M46)</f>
        <v>2015.6369651387624</v>
      </c>
      <c r="N47" s="152">
        <f t="shared" ref="N47" ca="1" si="15">+SUM(N41,N43:N46)</f>
        <v>2040.4239208889435</v>
      </c>
      <c r="O47" s="137">
        <f ca="1">+SUM(O41,O43:O46)</f>
        <v>5497.2214566901976</v>
      </c>
      <c r="P47" s="152">
        <f ca="1">+SUM(P41,P43:P46)</f>
        <v>0</v>
      </c>
      <c r="Q47" s="152">
        <f t="shared" ref="Q47:T47" ca="1" si="16">+SUM(Q41,Q43:Q46)</f>
        <v>2518.6829816361151</v>
      </c>
      <c r="R47" s="152">
        <f t="shared" ca="1" si="16"/>
        <v>2967.104876545593</v>
      </c>
      <c r="S47" s="152">
        <f ca="1">+SUM(S41,S43:S46)</f>
        <v>688.1921489955879</v>
      </c>
      <c r="T47" s="152">
        <f t="shared" ca="1" si="16"/>
        <v>0</v>
      </c>
      <c r="U47" s="137">
        <f ca="1">+SUM(U41,U43:U46)</f>
        <v>6173.9800071772961</v>
      </c>
      <c r="V47" s="152">
        <f t="shared" ref="V47" ca="1" si="17">+SUM(V41,V43:V46)</f>
        <v>947.12407667468869</v>
      </c>
      <c r="W47" s="152">
        <f t="shared" ref="W47" ca="1" si="18">+SUM(W41,W43:W46)</f>
        <v>0</v>
      </c>
      <c r="X47" s="152">
        <f t="shared" ref="X47" ca="1" si="19">+SUM(X41,X43:X46)</f>
        <v>208.61675059306179</v>
      </c>
    </row>
    <row r="48" spans="2:28" s="1" customFormat="1" ht="7.1" customHeight="1" x14ac:dyDescent="0.5">
      <c r="B48" s="3"/>
      <c r="G48" s="100"/>
      <c r="H48" s="100"/>
      <c r="I48" s="100"/>
      <c r="J48" s="112"/>
      <c r="K48" s="74"/>
      <c r="L48" s="74"/>
      <c r="M48" s="74"/>
      <c r="N48" s="74"/>
      <c r="O48" s="137"/>
      <c r="P48" s="136"/>
      <c r="Q48" s="74"/>
      <c r="R48" s="74"/>
      <c r="S48" s="74"/>
      <c r="T48" s="74"/>
      <c r="U48" s="137"/>
      <c r="V48" s="74"/>
      <c r="W48" s="74"/>
      <c r="X48" s="74"/>
    </row>
    <row r="49" spans="2:25" s="1" customFormat="1" x14ac:dyDescent="0.5">
      <c r="B49" s="10" t="s">
        <v>19</v>
      </c>
      <c r="C49" s="9"/>
      <c r="D49" s="9"/>
      <c r="E49" s="11"/>
      <c r="F49" s="11"/>
      <c r="G49" s="105"/>
      <c r="H49" s="105"/>
      <c r="I49" s="105"/>
      <c r="J49" s="112"/>
      <c r="K49" s="140"/>
      <c r="L49" s="140"/>
      <c r="M49" s="140"/>
      <c r="N49" s="140"/>
      <c r="O49" s="141"/>
      <c r="P49" s="139"/>
      <c r="Q49" s="140"/>
      <c r="R49" s="140"/>
      <c r="S49" s="140"/>
      <c r="T49" s="140"/>
      <c r="U49" s="141"/>
      <c r="V49" s="140"/>
      <c r="W49" s="140"/>
      <c r="X49" s="140"/>
    </row>
    <row r="50" spans="2:25" s="1" customFormat="1" x14ac:dyDescent="0.5">
      <c r="B50" s="2" t="s">
        <v>19</v>
      </c>
      <c r="E50" s="2"/>
      <c r="F50" s="2"/>
      <c r="G50" s="99">
        <f ca="1">'On or Off Premise'!J44*$I$5</f>
        <v>9553.1568000000007</v>
      </c>
      <c r="H50" s="99">
        <f ca="1">+SUM(O50,U50:X50)</f>
        <v>57133.912132366757</v>
      </c>
      <c r="I50" s="305">
        <f ca="1">H50/$H$61</f>
        <v>0.27666275629257508</v>
      </c>
      <c r="J50" s="112"/>
      <c r="K50" s="74">
        <f ca="1">+'Units Sold'!G99*IF('Product Masses'!G39="X",0,'Product Masses'!G39)*VLOOKUP($F$4,Conversions!$B$7:$C$10,2,FALSE)</f>
        <v>0</v>
      </c>
      <c r="L50" s="74">
        <f ca="1">+'Units Sold'!H99*IF('Product Masses'!H39="X",0,'Product Masses'!H39)*VLOOKUP($F$4,Conversions!$B$7:$C$10,2,FALSE)</f>
        <v>57133.912132366757</v>
      </c>
      <c r="M50" s="74">
        <f ca="1">+'Units Sold'!I99*IF('Product Masses'!I39="X",0,'Product Masses'!I39)*VLOOKUP($F$4,Conversions!$B$7:$C$10,2,FALSE)</f>
        <v>0</v>
      </c>
      <c r="N50" s="74">
        <f ca="1">+'Units Sold'!J99*IF('Product Masses'!J39="X",0,'Product Masses'!J39)*VLOOKUP($F$4,Conversions!$B$7:$C$10,2,FALSE)</f>
        <v>0</v>
      </c>
      <c r="O50" s="137">
        <f ca="1">SUM(K50:N50)</f>
        <v>57133.912132366757</v>
      </c>
      <c r="P50" s="136">
        <f ca="1">+'Units Sold'!L99*IF('Product Masses'!K39="X",0,'Product Masses'!K39)*VLOOKUP($F$4,Conversions!$B$7:$C$10,2,FALSE)</f>
        <v>0</v>
      </c>
      <c r="Q50" s="74">
        <f ca="1">+'Units Sold'!M99*IF('Product Masses'!L39="X",0,'Product Masses'!L39)*VLOOKUP($F$4,Conversions!$B$7:$C$10,2,FALSE)</f>
        <v>0</v>
      </c>
      <c r="R50" s="74">
        <f ca="1">+'Units Sold'!N99*IF('Product Masses'!M39="X",0,'Product Masses'!M39)*VLOOKUP($F$4,Conversions!$B$7:$C$10,2,FALSE)</f>
        <v>0</v>
      </c>
      <c r="S50" s="74">
        <f ca="1">+'Units Sold'!O99*IF('Product Masses'!N39="X",0,'Product Masses'!N39)*VLOOKUP($F$4,Conversions!$B$7:$C$10,2,FALSE)</f>
        <v>0</v>
      </c>
      <c r="T50" s="74">
        <f ca="1">+'Units Sold'!P99*IF('Product Masses'!O39="X",0,'Product Masses'!O39)*VLOOKUP($F$4,Conversions!$B$7:$C$10,2,FALSE)</f>
        <v>0</v>
      </c>
      <c r="U50" s="137">
        <f ca="1">SUM(P50:T50)</f>
        <v>0</v>
      </c>
      <c r="V50" s="74">
        <f ca="1">+'Units Sold'!R99*IF('Product Masses'!P39="X",0,'Product Masses'!P39)*VLOOKUP($F$4,Conversions!$B$7:$C$10,2,FALSE)</f>
        <v>0</v>
      </c>
      <c r="W50" s="74">
        <f ca="1">+'Units Sold'!S99*IF('Product Masses'!Q39="X",0,'Product Masses'!Q39)*VLOOKUP($F$4,Conversions!$B$7:$C$10,2,FALSE)</f>
        <v>0</v>
      </c>
      <c r="X50" s="74">
        <f ca="1">+'Units Sold'!T99*IF('Product Masses'!R39="X",0,'Product Masses'!R39)*VLOOKUP($F$4,Conversions!$B$7:$C$10,2,FALSE)</f>
        <v>0</v>
      </c>
      <c r="Y50" s="43"/>
    </row>
    <row r="51" spans="2:25" s="1" customFormat="1" ht="7.1" customHeight="1" x14ac:dyDescent="0.5">
      <c r="B51" s="2"/>
      <c r="E51" s="2"/>
      <c r="F51" s="2"/>
      <c r="G51" s="100"/>
      <c r="H51" s="100"/>
      <c r="I51" s="100"/>
      <c r="J51" s="112"/>
      <c r="K51" s="74"/>
      <c r="L51" s="74"/>
      <c r="M51" s="74"/>
      <c r="N51" s="74"/>
      <c r="O51" s="137"/>
      <c r="P51" s="136"/>
      <c r="Q51" s="74"/>
      <c r="R51" s="74"/>
      <c r="S51" s="74"/>
      <c r="T51" s="74"/>
      <c r="U51" s="137"/>
      <c r="V51" s="74"/>
      <c r="W51" s="74"/>
      <c r="X51" s="74"/>
    </row>
    <row r="52" spans="2:25" s="1" customFormat="1" x14ac:dyDescent="0.5">
      <c r="B52" s="10" t="s">
        <v>25</v>
      </c>
      <c r="C52" s="9"/>
      <c r="D52" s="9"/>
      <c r="E52" s="9"/>
      <c r="F52" s="9"/>
      <c r="G52" s="105"/>
      <c r="H52" s="105"/>
      <c r="I52" s="105"/>
      <c r="J52" s="112"/>
      <c r="K52" s="140"/>
      <c r="L52" s="140"/>
      <c r="M52" s="140"/>
      <c r="N52" s="140"/>
      <c r="O52" s="141"/>
      <c r="P52" s="139"/>
      <c r="Q52" s="140"/>
      <c r="R52" s="140"/>
      <c r="S52" s="140"/>
      <c r="T52" s="140"/>
      <c r="U52" s="141"/>
      <c r="V52" s="140"/>
      <c r="W52" s="140"/>
      <c r="X52" s="140"/>
    </row>
    <row r="53" spans="2:25" s="1" customFormat="1" x14ac:dyDescent="0.5">
      <c r="B53" s="2" t="s">
        <v>25</v>
      </c>
      <c r="G53" s="99">
        <f ca="1">'On or Off Premise'!J47*$I$5</f>
        <v>768.8352000000001</v>
      </c>
      <c r="H53" s="99">
        <f ca="1">+SUM(O53,U53:X53)</f>
        <v>3040.9656180558541</v>
      </c>
      <c r="I53" s="305">
        <f ca="1">H53/$H$61</f>
        <v>1.4725438855528189E-2</v>
      </c>
      <c r="J53" s="112"/>
      <c r="K53" s="74">
        <f ca="1">+'Units Sold'!G102*IF('Product Masses'!G42="X",0,'Product Masses'!G42)*VLOOKUP($F$4,Conversions!$B$7:$C$10,2,FALSE)</f>
        <v>2804.2820983259876</v>
      </c>
      <c r="L53" s="74">
        <f ca="1">+'Units Sold'!H102*IF('Product Masses'!H42="X",0,'Product Masses'!H42)*VLOOKUP($F$4,Conversions!$B$7:$C$10,2,FALSE)</f>
        <v>0</v>
      </c>
      <c r="M53" s="74">
        <f ca="1">+'Units Sold'!I102*IF('Product Masses'!I42="X",0,'Product Masses'!I42)*VLOOKUP($F$4,Conversions!$B$7:$C$10,2,FALSE)</f>
        <v>0</v>
      </c>
      <c r="N53" s="74">
        <f ca="1">+'Units Sold'!J102*IF('Product Masses'!J42="X",0,'Product Masses'!J42)*VLOOKUP($F$4,Conversions!$B$7:$C$10,2,FALSE)</f>
        <v>0</v>
      </c>
      <c r="O53" s="137">
        <f ca="1">SUM(K53:N53)</f>
        <v>2804.2820983259876</v>
      </c>
      <c r="P53" s="136">
        <f ca="1">+'Units Sold'!L102*IF('Product Masses'!K42="X",0,'Product Masses'!K42)*VLOOKUP($F$4,Conversions!$B$7:$C$10,2,FALSE)</f>
        <v>0</v>
      </c>
      <c r="Q53" s="74">
        <f ca="1">+'Units Sold'!M102*IF('Product Masses'!L42="X",0,'Product Masses'!L42)*VLOOKUP($F$4,Conversions!$B$7:$C$10,2,FALSE)</f>
        <v>0</v>
      </c>
      <c r="R53" s="74">
        <f ca="1">+'Units Sold'!N102*IF('Product Masses'!M42="X",0,'Product Masses'!M42)*VLOOKUP($F$4,Conversions!$B$7:$C$10,2,FALSE)</f>
        <v>0</v>
      </c>
      <c r="S53" s="74">
        <f ca="1">+'Units Sold'!O102*IF('Product Masses'!N42="X",0,'Product Masses'!N42)*VLOOKUP($F$4,Conversions!$B$7:$C$10,2,FALSE)</f>
        <v>0</v>
      </c>
      <c r="T53" s="74">
        <f ca="1">+'Units Sold'!P102*IF('Product Masses'!O42="X",0,'Product Masses'!O42)*VLOOKUP($F$4,Conversions!$B$7:$C$10,2,FALSE)</f>
        <v>0</v>
      </c>
      <c r="U53" s="137">
        <f ca="1">SUM(P53:T53)</f>
        <v>0</v>
      </c>
      <c r="V53" s="74">
        <f ca="1">+'Units Sold'!R102*IF('Product Masses'!P42="X",0,'Product Masses'!P42)*VLOOKUP($F$4,Conversions!$B$7:$C$10,2,FALSE)</f>
        <v>0</v>
      </c>
      <c r="W53" s="74">
        <f ca="1">+'Units Sold'!S102*IF('Product Masses'!Q42="X",0,'Product Masses'!Q42)*VLOOKUP($F$4,Conversions!$B$7:$C$10,2,FALSE)</f>
        <v>236.68351972986653</v>
      </c>
      <c r="X53" s="74">
        <f ca="1">+'Units Sold'!T102*IF('Product Masses'!R42="X",0,'Product Masses'!R42)*VLOOKUP($F$4,Conversions!$B$7:$C$10,2,FALSE)</f>
        <v>0</v>
      </c>
    </row>
    <row r="54" spans="2:25" s="1" customFormat="1" ht="7.1" customHeight="1" x14ac:dyDescent="0.5">
      <c r="B54" s="2"/>
      <c r="G54" s="100"/>
      <c r="H54" s="100"/>
      <c r="I54" s="100"/>
      <c r="J54" s="112"/>
      <c r="K54" s="74"/>
      <c r="L54" s="74"/>
      <c r="M54" s="74"/>
      <c r="N54" s="74"/>
      <c r="O54" s="137"/>
      <c r="P54" s="136"/>
      <c r="Q54" s="74"/>
      <c r="R54" s="74"/>
      <c r="S54" s="74"/>
      <c r="T54" s="74"/>
      <c r="U54" s="137"/>
      <c r="V54" s="74"/>
      <c r="W54" s="74"/>
      <c r="X54" s="74"/>
    </row>
    <row r="55" spans="2:25" s="1" customFormat="1" x14ac:dyDescent="0.5">
      <c r="B55" s="10" t="s">
        <v>4</v>
      </c>
      <c r="C55" s="9"/>
      <c r="D55" s="9"/>
      <c r="E55" s="9"/>
      <c r="F55" s="9"/>
      <c r="G55" s="105"/>
      <c r="H55" s="105"/>
      <c r="I55" s="105"/>
      <c r="J55" s="112"/>
      <c r="K55" s="140"/>
      <c r="L55" s="140"/>
      <c r="M55" s="140"/>
      <c r="N55" s="140"/>
      <c r="O55" s="141"/>
      <c r="P55" s="139"/>
      <c r="Q55" s="140"/>
      <c r="R55" s="140"/>
      <c r="S55" s="140"/>
      <c r="T55" s="140"/>
      <c r="U55" s="141"/>
      <c r="V55" s="140"/>
      <c r="W55" s="140"/>
      <c r="X55" s="140"/>
    </row>
    <row r="56" spans="2:25" s="1" customFormat="1" x14ac:dyDescent="0.5">
      <c r="B56" s="2" t="s">
        <v>20</v>
      </c>
      <c r="E56" s="2"/>
      <c r="F56" s="2"/>
      <c r="G56" s="99">
        <f ca="1">'On or Off Premise'!J50*$I$5</f>
        <v>78.295200000000008</v>
      </c>
      <c r="H56" s="99">
        <f ca="1">+SUM(O56,U56:X56)</f>
        <v>956.8355121905397</v>
      </c>
      <c r="I56" s="305">
        <f ca="1">H56/$H$61</f>
        <v>4.6333384191853096E-3</v>
      </c>
      <c r="J56" s="112"/>
      <c r="K56" s="74">
        <f ca="1">+'Units Sold'!G105*IF('Product Masses'!G45="X",0,'Product Masses'!G45)*VLOOKUP($F$4,Conversions!$B$7:$C$10,2,FALSE)</f>
        <v>813.16745834521521</v>
      </c>
      <c r="L56" s="74">
        <f ca="1">+'Units Sold'!H105*IF('Product Masses'!H45="X",0,'Product Masses'!H45)*VLOOKUP($F$4,Conversions!$B$7:$C$10,2,FALSE)</f>
        <v>119.7915239523405</v>
      </c>
      <c r="M56" s="74">
        <f ca="1">+'Units Sold'!I105*IF('Product Masses'!I45="X",0,'Product Masses'!I45)*VLOOKUP($F$4,Conversions!$B$7:$C$10,2,FALSE)</f>
        <v>0</v>
      </c>
      <c r="N56" s="74">
        <f ca="1">+'Units Sold'!J105*IF('Product Masses'!J45="X",0,'Product Masses'!J45)*VLOOKUP($F$4,Conversions!$B$7:$C$10,2,FALSE)</f>
        <v>23.876529892983946</v>
      </c>
      <c r="O56" s="137">
        <f ca="1">SUM(K56:N56)</f>
        <v>956.8355121905397</v>
      </c>
      <c r="P56" s="136">
        <f ca="1">+'Units Sold'!L105*IF('Product Masses'!K45="X",0,'Product Masses'!K45)*VLOOKUP($F$4,Conversions!$B$7:$C$10,2,FALSE)</f>
        <v>0</v>
      </c>
      <c r="Q56" s="74">
        <f ca="1">+'Units Sold'!M105*IF('Product Masses'!L45="X",0,'Product Masses'!L45)*VLOOKUP($F$4,Conversions!$B$7:$C$10,2,FALSE)</f>
        <v>0</v>
      </c>
      <c r="R56" s="74">
        <f ca="1">+'Units Sold'!N105*IF('Product Masses'!M45="X",0,'Product Masses'!M45)*VLOOKUP($F$4,Conversions!$B$7:$C$10,2,FALSE)</f>
        <v>0</v>
      </c>
      <c r="S56" s="74">
        <f ca="1">+'Units Sold'!O105*IF('Product Masses'!N45="X",0,'Product Masses'!N45)*VLOOKUP($F$4,Conversions!$B$7:$C$10,2,FALSE)</f>
        <v>0</v>
      </c>
      <c r="T56" s="74">
        <f ca="1">+'Units Sold'!P105*IF('Product Masses'!O45="X",0,'Product Masses'!O45)*VLOOKUP($F$4,Conversions!$B$7:$C$10,2,FALSE)</f>
        <v>0</v>
      </c>
      <c r="U56" s="137">
        <f t="shared" ref="U56:U58" ca="1" si="20">SUM(P56:T56)</f>
        <v>0</v>
      </c>
      <c r="V56" s="74">
        <f ca="1">+'Units Sold'!R105*IF('Product Masses'!P45="X",0,'Product Masses'!P45)*VLOOKUP($F$4,Conversions!$B$7:$C$10,2,FALSE)</f>
        <v>0</v>
      </c>
      <c r="W56" s="74">
        <f ca="1">+'Units Sold'!S105*IF('Product Masses'!Q45="X",0,'Product Masses'!Q45)*VLOOKUP($F$4,Conversions!$B$7:$C$10,2,FALSE)</f>
        <v>0</v>
      </c>
      <c r="X56" s="74">
        <f ca="1">+'Units Sold'!T105*IF('Product Masses'!R45="X",0,'Product Masses'!R45)*VLOOKUP($F$4,Conversions!$B$7:$C$10,2,FALSE)</f>
        <v>0</v>
      </c>
    </row>
    <row r="57" spans="2:25" s="1" customFormat="1" x14ac:dyDescent="0.5">
      <c r="B57" s="2" t="s">
        <v>11</v>
      </c>
      <c r="E57" s="2"/>
      <c r="F57" s="2"/>
      <c r="G57" s="99">
        <f ca="1">'On or Off Premise'!J51*$I$5</f>
        <v>985.60560000000009</v>
      </c>
      <c r="H57" s="99">
        <f ca="1">+SUM(O57,U57:X57)</f>
        <v>3232.1257347593669</v>
      </c>
      <c r="I57" s="305">
        <f ca="1">H57/$H$61</f>
        <v>1.5651104240700427E-2</v>
      </c>
      <c r="J57" s="112"/>
      <c r="K57" s="74">
        <f ca="1">+'Units Sold'!G106*IF('Product Masses'!G46="X",0,'Product Masses'!G46)*VLOOKUP($F$4,Conversions!$B$7:$C$10,2,FALSE)</f>
        <v>100.84376845333234</v>
      </c>
      <c r="L57" s="74">
        <f ca="1">+'Units Sold'!H106*IF('Product Masses'!H46="X",0,'Product Masses'!H46)*VLOOKUP($F$4,Conversions!$B$7:$C$10,2,FALSE)</f>
        <v>0</v>
      </c>
      <c r="M57" s="74">
        <f ca="1">+'Units Sold'!I106*IF('Product Masses'!I46="X",0,'Product Masses'!I46)*VLOOKUP($F$4,Conversions!$B$7:$C$10,2,FALSE)</f>
        <v>0</v>
      </c>
      <c r="N57" s="74">
        <f ca="1">+'Units Sold'!J106*IF('Product Masses'!J46="X",0,'Product Masses'!J46)*VLOOKUP($F$4,Conversions!$B$7:$C$10,2,FALSE)</f>
        <v>0</v>
      </c>
      <c r="O57" s="137">
        <f ca="1">SUM(K57:N57)</f>
        <v>100.84376845333234</v>
      </c>
      <c r="P57" s="136">
        <f ca="1">+'Units Sold'!L106*IF('Product Masses'!K46="X",0,'Product Masses'!K46)*VLOOKUP($F$4,Conversions!$B$7:$C$10,2,FALSE)</f>
        <v>0</v>
      </c>
      <c r="Q57" s="74">
        <f ca="1">+'Units Sold'!M106*IF('Product Masses'!L46="X",0,'Product Masses'!L46)*VLOOKUP($F$4,Conversions!$B$7:$C$10,2,FALSE)</f>
        <v>1248.6130779985585</v>
      </c>
      <c r="R57" s="74">
        <f ca="1">+'Units Sold'!N106*IF('Product Masses'!M46="X",0,'Product Masses'!M46)*VLOOKUP($F$4,Conversions!$B$7:$C$10,2,FALSE)</f>
        <v>1004.5281202163879</v>
      </c>
      <c r="S57" s="74">
        <f ca="1">+'Units Sold'!O106*IF('Product Masses'!N46="X",0,'Product Masses'!N46)*VLOOKUP($F$4,Conversions!$B$7:$C$10,2,FALSE)</f>
        <v>847.61988165825505</v>
      </c>
      <c r="T57" s="74">
        <f ca="1">+'Units Sold'!P106*IF('Product Masses'!O46="X",0,'Product Masses'!O46)*VLOOKUP($F$4,Conversions!$B$7:$C$10,2,FALSE)</f>
        <v>0</v>
      </c>
      <c r="U57" s="137">
        <f t="shared" ca="1" si="20"/>
        <v>3100.7610798732017</v>
      </c>
      <c r="V57" s="74">
        <f ca="1">+'Units Sold'!R106*IF('Product Masses'!P46="X",0,'Product Masses'!P46)*VLOOKUP($F$4,Conversions!$B$7:$C$10,2,FALSE)</f>
        <v>30.520886432832746</v>
      </c>
      <c r="W57" s="74">
        <f ca="1">+'Units Sold'!S106*IF('Product Masses'!Q46="X",0,'Product Masses'!Q46)*VLOOKUP($F$4,Conversions!$B$7:$C$10,2,FALSE)</f>
        <v>0</v>
      </c>
      <c r="X57" s="74">
        <f ca="1">+'Units Sold'!T106*IF('Product Masses'!R46="X",0,'Product Masses'!R46)*VLOOKUP($F$4,Conversions!$B$7:$C$10,2,FALSE)</f>
        <v>0</v>
      </c>
    </row>
    <row r="58" spans="2:25" s="1" customFormat="1" x14ac:dyDescent="0.5">
      <c r="B58" s="47" t="s">
        <v>55</v>
      </c>
      <c r="C58" s="48"/>
      <c r="D58" s="48"/>
      <c r="E58" s="47"/>
      <c r="F58" s="47"/>
      <c r="G58" s="101">
        <f ca="1">'On or Off Premise'!J52*$I$5</f>
        <v>119.66640000000001</v>
      </c>
      <c r="H58" s="101">
        <f ca="1">+SUM(O58,U58:X58)</f>
        <v>763.85709529736414</v>
      </c>
      <c r="I58" s="307">
        <f ca="1">H58/$H$61</f>
        <v>3.698868176731917E-3</v>
      </c>
      <c r="J58" s="112"/>
      <c r="K58" s="49">
        <f ca="1">+'Units Sold'!G107*IF('Product Masses'!G47="X",0,'Product Masses'!G47)*VLOOKUP($F$4,Conversions!$B$7:$C$10,2,FALSE)</f>
        <v>0</v>
      </c>
      <c r="L58" s="49">
        <f ca="1">+'Units Sold'!H107*IF('Product Masses'!H47="X",0,'Product Masses'!H47)*VLOOKUP($F$4,Conversions!$B$7:$C$10,2,FALSE)</f>
        <v>763.85709529736414</v>
      </c>
      <c r="M58" s="49">
        <f ca="1">+'Units Sold'!I107*IF('Product Masses'!I47="X",0,'Product Masses'!I47)*VLOOKUP($F$4,Conversions!$B$7:$C$10,2,FALSE)</f>
        <v>0</v>
      </c>
      <c r="N58" s="49">
        <f ca="1">+'Units Sold'!J107*IF('Product Masses'!J47="X",0,'Product Masses'!J47)*VLOOKUP($F$4,Conversions!$B$7:$C$10,2,FALSE)</f>
        <v>0</v>
      </c>
      <c r="O58" s="144">
        <f ca="1">SUM(K58:N58)</f>
        <v>763.85709529736414</v>
      </c>
      <c r="P58" s="143">
        <f ca="1">+'Units Sold'!L107*IF('Product Masses'!K47="X",0,'Product Masses'!K47)*VLOOKUP($F$4,Conversions!$B$7:$C$10,2,FALSE)</f>
        <v>0</v>
      </c>
      <c r="Q58" s="49">
        <f ca="1">+'Units Sold'!M107*IF('Product Masses'!L47="X",0,'Product Masses'!L47)*VLOOKUP($F$4,Conversions!$B$7:$C$10,2,FALSE)</f>
        <v>0</v>
      </c>
      <c r="R58" s="49">
        <f ca="1">+'Units Sold'!N107*IF('Product Masses'!M47="X",0,'Product Masses'!M47)*VLOOKUP($F$4,Conversions!$B$7:$C$10,2,FALSE)</f>
        <v>0</v>
      </c>
      <c r="S58" s="49">
        <f ca="1">+'Units Sold'!O107*IF('Product Masses'!N47="X",0,'Product Masses'!N47)*VLOOKUP($F$4,Conversions!$B$7:$C$10,2,FALSE)</f>
        <v>0</v>
      </c>
      <c r="T58" s="49">
        <f ca="1">+'Units Sold'!P107*IF('Product Masses'!O47="X",0,'Product Masses'!O47)*VLOOKUP($F$4,Conversions!$B$7:$C$10,2,FALSE)</f>
        <v>0</v>
      </c>
      <c r="U58" s="144">
        <f t="shared" ca="1" si="20"/>
        <v>0</v>
      </c>
      <c r="V58" s="49">
        <f ca="1">+'Units Sold'!R107*IF('Product Masses'!P47="X",0,'Product Masses'!P47)*VLOOKUP($F$4,Conversions!$B$7:$C$10,2,FALSE)</f>
        <v>0</v>
      </c>
      <c r="W58" s="49">
        <f ca="1">+'Units Sold'!S107*IF('Product Masses'!Q47="X",0,'Product Masses'!Q47)*VLOOKUP($F$4,Conversions!$B$7:$C$10,2,FALSE)</f>
        <v>0</v>
      </c>
      <c r="X58" s="49">
        <f ca="1">+'Units Sold'!T107*IF('Product Masses'!R47="X",0,'Product Masses'!R47)*VLOOKUP($F$4,Conversions!$B$7:$C$10,2,FALSE)</f>
        <v>0</v>
      </c>
    </row>
    <row r="59" spans="2:25" s="43" customFormat="1" x14ac:dyDescent="0.5">
      <c r="B59" s="44" t="s">
        <v>38</v>
      </c>
      <c r="E59" s="44"/>
      <c r="F59" s="44"/>
      <c r="G59" s="104">
        <f ca="1">SUM(G56:G58)</f>
        <v>1183.5672000000002</v>
      </c>
      <c r="H59" s="104">
        <f ca="1">SUM(H56:H58)</f>
        <v>4952.8183422472703</v>
      </c>
      <c r="I59" s="308">
        <f ca="1">H59/$H$61</f>
        <v>2.3983310836617651E-2</v>
      </c>
      <c r="J59" s="113"/>
      <c r="K59" s="152">
        <f t="shared" ref="K59:X59" ca="1" si="21">SUM(K56:K58)</f>
        <v>914.01122679854757</v>
      </c>
      <c r="L59" s="152">
        <f t="shared" ca="1" si="21"/>
        <v>883.64861924970467</v>
      </c>
      <c r="M59" s="152">
        <f ca="1">SUM(M56:M58)</f>
        <v>0</v>
      </c>
      <c r="N59" s="152">
        <f ca="1">SUM(N56:N58)</f>
        <v>23.876529892983946</v>
      </c>
      <c r="O59" s="137">
        <f t="shared" ca="1" si="21"/>
        <v>1821.5363759412362</v>
      </c>
      <c r="P59" s="151">
        <f t="shared" ca="1" si="21"/>
        <v>0</v>
      </c>
      <c r="Q59" s="152">
        <f t="shared" ca="1" si="21"/>
        <v>1248.6130779985585</v>
      </c>
      <c r="R59" s="152">
        <f t="shared" ca="1" si="21"/>
        <v>1004.5281202163879</v>
      </c>
      <c r="S59" s="152">
        <f ca="1">SUM(S56:S58)</f>
        <v>847.61988165825505</v>
      </c>
      <c r="T59" s="152">
        <f t="shared" ca="1" si="21"/>
        <v>0</v>
      </c>
      <c r="U59" s="137">
        <f t="shared" ca="1" si="21"/>
        <v>3100.7610798732017</v>
      </c>
      <c r="V59" s="152">
        <f t="shared" ca="1" si="21"/>
        <v>30.520886432832746</v>
      </c>
      <c r="W59" s="152">
        <f t="shared" ca="1" si="21"/>
        <v>0</v>
      </c>
      <c r="X59" s="152">
        <f t="shared" ca="1" si="21"/>
        <v>0</v>
      </c>
    </row>
    <row r="60" spans="2:25" s="43" customFormat="1" ht="7.1" customHeight="1" thickBot="1" x14ac:dyDescent="0.55000000000000004">
      <c r="B60" s="44"/>
      <c r="E60" s="44"/>
      <c r="F60" s="44"/>
      <c r="G60" s="104"/>
      <c r="H60" s="104"/>
      <c r="I60" s="104"/>
      <c r="J60" s="113"/>
      <c r="K60" s="74"/>
      <c r="L60" s="74"/>
      <c r="M60" s="74"/>
      <c r="N60" s="74"/>
      <c r="O60" s="137"/>
      <c r="P60" s="136"/>
      <c r="Q60" s="74"/>
      <c r="R60" s="74"/>
      <c r="S60" s="74"/>
      <c r="T60" s="74"/>
      <c r="U60" s="137"/>
      <c r="V60" s="74"/>
      <c r="W60" s="74"/>
      <c r="X60" s="74"/>
    </row>
    <row r="61" spans="2:25" s="43" customFormat="1" ht="14.7" thickBot="1" x14ac:dyDescent="0.55000000000000004">
      <c r="B61" s="146" t="s">
        <v>39</v>
      </c>
      <c r="C61" s="147"/>
      <c r="D61" s="147"/>
      <c r="E61" s="148"/>
      <c r="F61" s="148"/>
      <c r="G61" s="182">
        <f ca="1">SUM(G19,G27,G32,G37,G47,G50,G53,G59)</f>
        <v>22906.751748679977</v>
      </c>
      <c r="H61" s="182">
        <f ca="1">SUM(H19,H27,H32,H37,H47,H50,H53,H59)</f>
        <v>206511.03494373767</v>
      </c>
      <c r="I61" s="306">
        <f ca="1">H61/$H$61</f>
        <v>1</v>
      </c>
      <c r="J61" s="114"/>
      <c r="K61" s="154">
        <f t="shared" ref="K61:X61" ca="1" si="22">SUM(K19,K27,K32,K37,K47,K50,K53,K59)</f>
        <v>32049.223542095864</v>
      </c>
      <c r="L61" s="154">
        <f t="shared" ca="1" si="22"/>
        <v>94684.334990540679</v>
      </c>
      <c r="M61" s="154">
        <f ca="1">SUM(M19,M27,M32,M37,M47,M50,M53,M59)</f>
        <v>4806.9759454117229</v>
      </c>
      <c r="N61" s="154">
        <f ca="1">SUM(N19,N27,N32,N37,N47,N50,N53,N59)</f>
        <v>2385.1130936818472</v>
      </c>
      <c r="O61" s="149">
        <f t="shared" ca="1" si="22"/>
        <v>133925.64757173011</v>
      </c>
      <c r="P61" s="153">
        <f t="shared" ca="1" si="22"/>
        <v>19676.537579520576</v>
      </c>
      <c r="Q61" s="154">
        <f t="shared" ca="1" si="22"/>
        <v>18829.64429052229</v>
      </c>
      <c r="R61" s="154">
        <f t="shared" ca="1" si="22"/>
        <v>7683.8818415194037</v>
      </c>
      <c r="S61" s="154">
        <f ca="1">SUM(S19,S27,S32,S37,S47,S50,S53,S59)</f>
        <v>15538.6397770527</v>
      </c>
      <c r="T61" s="154">
        <f t="shared" ca="1" si="22"/>
        <v>6983.1801391564159</v>
      </c>
      <c r="U61" s="149">
        <f t="shared" ca="1" si="22"/>
        <v>68711.883627771385</v>
      </c>
      <c r="V61" s="154">
        <f t="shared" ca="1" si="22"/>
        <v>3355.9707796361986</v>
      </c>
      <c r="W61" s="154">
        <f t="shared" ca="1" si="22"/>
        <v>308.9162140068857</v>
      </c>
      <c r="X61" s="155">
        <f t="shared" ca="1" si="22"/>
        <v>208.61675059306179</v>
      </c>
    </row>
    <row r="62" spans="2:25" s="1" customFormat="1" x14ac:dyDescent="0.5">
      <c r="J62" s="64"/>
      <c r="K62" s="315"/>
      <c r="L62" s="315"/>
      <c r="M62" s="315"/>
      <c r="N62" s="315"/>
      <c r="O62" s="319"/>
      <c r="P62" s="319"/>
      <c r="Q62" s="315"/>
      <c r="R62" s="315"/>
      <c r="S62" s="315"/>
      <c r="T62" s="315"/>
      <c r="U62" s="315"/>
      <c r="V62" s="315"/>
      <c r="W62" s="315"/>
      <c r="X62" s="315"/>
    </row>
    <row r="63" spans="2:25" s="1" customFormat="1" x14ac:dyDescent="0.5">
      <c r="J63" s="64"/>
    </row>
    <row r="64" spans="2:25" ht="16" thickBot="1" x14ac:dyDescent="0.6">
      <c r="B64" s="46" t="str">
        <f>+"TOTAL UNITS AND MASS RECYCLABLE -- "&amp;CHOOSE(Recycling!$L$4,Recycling!B57,Recycling!B101,Recycling!B145)&amp;""</f>
        <v>TOTAL UNITS AND MASS RECYCLABLE -- Technically Recyclable in NYC</v>
      </c>
      <c r="C64" s="46"/>
      <c r="D64" s="46"/>
      <c r="E64" s="46"/>
      <c r="F64" s="46"/>
      <c r="G64" s="46"/>
      <c r="H64" s="46"/>
      <c r="I64" s="46"/>
      <c r="K64" s="178" t="str">
        <f>"TOTAL MASS RECYCLABLE BY MATERIAL ("&amp;$F$4&amp;")"</f>
        <v>TOTAL MASS RECYCLABLE BY MATERIAL (Short Tons)</v>
      </c>
      <c r="L64" s="178"/>
      <c r="M64" s="178"/>
      <c r="N64" s="178"/>
      <c r="O64" s="178"/>
      <c r="P64" s="178"/>
      <c r="Q64" s="178"/>
      <c r="R64" s="178"/>
      <c r="S64" s="178"/>
      <c r="T64" s="178"/>
      <c r="U64" s="178"/>
      <c r="V64" s="178"/>
      <c r="W64" s="178"/>
      <c r="X64" s="178"/>
      <c r="Y64" s="96"/>
    </row>
    <row r="65" spans="2:25" s="56" customFormat="1" ht="16" thickBot="1" x14ac:dyDescent="0.6">
      <c r="B65" s="217"/>
      <c r="C65" s="217"/>
      <c r="D65" s="217"/>
      <c r="E65" s="217"/>
      <c r="F65" s="217"/>
      <c r="G65" s="217"/>
      <c r="H65" s="217"/>
      <c r="I65" s="217"/>
      <c r="J65" s="216"/>
      <c r="K65" s="212" t="s">
        <v>73</v>
      </c>
      <c r="L65" s="212"/>
      <c r="M65" s="212"/>
      <c r="N65" s="212"/>
      <c r="O65" s="218"/>
      <c r="P65" s="372" t="s">
        <v>72</v>
      </c>
      <c r="Q65" s="373"/>
      <c r="R65" s="373"/>
      <c r="S65" s="373"/>
      <c r="T65" s="373"/>
      <c r="U65" s="374"/>
      <c r="V65" s="375" t="s">
        <v>4</v>
      </c>
      <c r="W65" s="376"/>
      <c r="X65" s="376"/>
      <c r="Y65"/>
    </row>
    <row r="66" spans="2:25" s="36" customFormat="1" ht="15.7" x14ac:dyDescent="0.55000000000000004">
      <c r="B66" s="111"/>
      <c r="C66" s="111"/>
      <c r="D66" s="111"/>
      <c r="E66" s="111"/>
      <c r="F66" s="111"/>
      <c r="G66" s="215" t="s">
        <v>32</v>
      </c>
      <c r="H66" s="215" t="s">
        <v>33</v>
      </c>
      <c r="I66" s="215"/>
      <c r="J66" s="111"/>
      <c r="K66" s="59" t="str">
        <f t="shared" ref="K66:X66" si="23">+K11</f>
        <v>Lined</v>
      </c>
      <c r="L66" s="59" t="str">
        <f t="shared" si="23"/>
        <v>Unlined</v>
      </c>
      <c r="M66" s="59" t="s">
        <v>61</v>
      </c>
      <c r="N66" s="59" t="s">
        <v>182</v>
      </c>
      <c r="O66" s="203" t="str">
        <f t="shared" si="23"/>
        <v>TOTAL</v>
      </c>
      <c r="P66" s="202" t="str">
        <f t="shared" si="23"/>
        <v/>
      </c>
      <c r="Q66" s="59" t="str">
        <f t="shared" si="23"/>
        <v/>
      </c>
      <c r="R66" s="59" t="str">
        <f t="shared" si="23"/>
        <v/>
      </c>
      <c r="S66" s="59" t="str">
        <f t="shared" si="23"/>
        <v>EPS</v>
      </c>
      <c r="T66" s="59" t="str">
        <f t="shared" si="23"/>
        <v>LDPE/HDPE</v>
      </c>
      <c r="U66" s="203" t="str">
        <f t="shared" si="23"/>
        <v>TOTAL</v>
      </c>
      <c r="V66" s="59" t="str">
        <f t="shared" si="23"/>
        <v/>
      </c>
      <c r="W66" s="59" t="str">
        <f t="shared" si="23"/>
        <v/>
      </c>
      <c r="X66" s="59" t="str">
        <f t="shared" si="23"/>
        <v/>
      </c>
    </row>
    <row r="67" spans="2:25" s="36" customFormat="1" ht="16" thickBot="1" x14ac:dyDescent="0.6">
      <c r="B67" s="39"/>
      <c r="C67" s="39"/>
      <c r="D67" s="39"/>
      <c r="E67" s="39"/>
      <c r="F67" s="39"/>
      <c r="G67" s="40" t="s">
        <v>44</v>
      </c>
      <c r="H67" s="40" t="s">
        <v>56</v>
      </c>
      <c r="I67" s="215"/>
      <c r="J67" s="111"/>
      <c r="K67" s="29" t="str">
        <f t="shared" ref="K67:X67" si="24">+K12</f>
        <v>Paper</v>
      </c>
      <c r="L67" s="29" t="str">
        <f t="shared" si="24"/>
        <v>Paper</v>
      </c>
      <c r="M67" s="29" t="s">
        <v>62</v>
      </c>
      <c r="N67" s="29" t="s">
        <v>62</v>
      </c>
      <c r="O67" s="70" t="str">
        <f t="shared" si="24"/>
        <v>PAPER</v>
      </c>
      <c r="P67" s="58" t="str">
        <f t="shared" si="24"/>
        <v>PET</v>
      </c>
      <c r="Q67" s="29" t="str">
        <f t="shared" si="24"/>
        <v>PP</v>
      </c>
      <c r="R67" s="29" t="str">
        <f t="shared" si="24"/>
        <v>PS</v>
      </c>
      <c r="S67" s="29" t="str">
        <f t="shared" si="24"/>
        <v>Foam</v>
      </c>
      <c r="T67" s="29" t="str">
        <f t="shared" si="24"/>
        <v>Film</v>
      </c>
      <c r="U67" s="70" t="str">
        <f t="shared" si="24"/>
        <v>PLASTIC</v>
      </c>
      <c r="V67" s="29" t="str">
        <f t="shared" si="24"/>
        <v>PLA</v>
      </c>
      <c r="W67" s="29" t="str">
        <f t="shared" si="24"/>
        <v>Aluminum</v>
      </c>
      <c r="X67" s="29" t="str">
        <f t="shared" si="24"/>
        <v>Wood</v>
      </c>
    </row>
    <row r="68" spans="2:25" s="1" customFormat="1" ht="15.7" x14ac:dyDescent="0.55000000000000004">
      <c r="B68" s="7" t="s">
        <v>21</v>
      </c>
      <c r="C68" s="8"/>
      <c r="D68" s="8"/>
      <c r="E68" s="9"/>
      <c r="F68" s="9"/>
      <c r="G68" s="54"/>
      <c r="H68" s="54"/>
      <c r="I68" s="54"/>
      <c r="J68" s="64"/>
      <c r="K68" s="179"/>
      <c r="L68" s="179"/>
      <c r="M68" s="179"/>
      <c r="N68" s="179"/>
      <c r="O68" s="180"/>
      <c r="P68" s="181"/>
      <c r="Q68" s="179"/>
      <c r="R68" s="179"/>
      <c r="S68" s="179"/>
      <c r="T68" s="179"/>
      <c r="U68" s="180"/>
      <c r="V68" s="179"/>
      <c r="W68" s="179"/>
      <c r="X68" s="179"/>
    </row>
    <row r="69" spans="2:25" s="1" customFormat="1" x14ac:dyDescent="0.5">
      <c r="B69" s="94" t="s">
        <v>59</v>
      </c>
      <c r="C69" s="56"/>
      <c r="D69" s="56"/>
      <c r="E69" s="55"/>
      <c r="F69" s="55"/>
      <c r="G69" s="97"/>
      <c r="H69" s="95"/>
      <c r="I69" s="95"/>
      <c r="J69" s="64"/>
      <c r="K69" s="74"/>
      <c r="L69" s="74"/>
      <c r="M69" s="74"/>
      <c r="N69" s="74"/>
      <c r="O69" s="137"/>
      <c r="P69" s="136"/>
      <c r="Q69" s="74"/>
      <c r="R69" s="74"/>
      <c r="S69" s="74"/>
      <c r="T69" s="74"/>
      <c r="U69" s="137"/>
      <c r="V69" s="74"/>
      <c r="W69" s="74"/>
      <c r="X69" s="74"/>
    </row>
    <row r="70" spans="2:25" s="1" customFormat="1" x14ac:dyDescent="0.5">
      <c r="B70" s="2"/>
      <c r="C70" s="1" t="s">
        <v>52</v>
      </c>
      <c r="G70" s="293"/>
      <c r="H70" s="99">
        <f ca="1">+SUM(O70,U70:X70)</f>
        <v>9190.8460391950939</v>
      </c>
      <c r="I70" s="305">
        <f ca="1">H70/$H$61</f>
        <v>4.4505350727137023E-2</v>
      </c>
      <c r="J70" s="112"/>
      <c r="K70" s="74">
        <f ca="1">+K15*Recycling!G16</f>
        <v>1942.4952734218489</v>
      </c>
      <c r="L70" s="74">
        <f ca="1">+L15*Recycling!H16</f>
        <v>7248.3507657732443</v>
      </c>
      <c r="M70" s="74">
        <f ca="1">+M15*Recycling!I16</f>
        <v>0</v>
      </c>
      <c r="N70" s="74">
        <f ca="1">+N15*Recycling!J16</f>
        <v>0</v>
      </c>
      <c r="O70" s="137">
        <f ca="1">SUM(K70:N70)</f>
        <v>9190.8460391950939</v>
      </c>
      <c r="P70" s="136">
        <f ca="1">+P15*Recycling!K16</f>
        <v>0</v>
      </c>
      <c r="Q70" s="74">
        <f ca="1">+Q15*Recycling!L16</f>
        <v>0</v>
      </c>
      <c r="R70" s="74">
        <f ca="1">+R15*Recycling!M16</f>
        <v>0</v>
      </c>
      <c r="S70" s="74">
        <f ca="1">+S15*Recycling!N16</f>
        <v>0</v>
      </c>
      <c r="T70" s="74">
        <f ca="1">+T15*Recycling!O16</f>
        <v>0</v>
      </c>
      <c r="U70" s="137">
        <f ca="1">SUM(P70:T70)</f>
        <v>0</v>
      </c>
      <c r="V70" s="74">
        <f ca="1">+V15*Recycling!P16</f>
        <v>0</v>
      </c>
      <c r="W70" s="74">
        <f ca="1">+W15*Recycling!Q16</f>
        <v>0</v>
      </c>
      <c r="X70" s="74">
        <f ca="1">+X15*Recycling!R16</f>
        <v>0</v>
      </c>
    </row>
    <row r="71" spans="2:25" s="1" customFormat="1" x14ac:dyDescent="0.5">
      <c r="B71" s="2"/>
      <c r="C71" s="1" t="s">
        <v>4</v>
      </c>
      <c r="G71" s="293"/>
      <c r="H71" s="99">
        <f ca="1">+SUM(O71,U71:X71)</f>
        <v>1824.9065488430435</v>
      </c>
      <c r="I71" s="305">
        <f ca="1">H71/$H$61</f>
        <v>8.836847625795034E-3</v>
      </c>
      <c r="J71" s="112"/>
      <c r="K71" s="74">
        <f ca="1">+K16*Recycling!G17</f>
        <v>1824.9065488430435</v>
      </c>
      <c r="L71" s="74">
        <f ca="1">+L16*Recycling!H17</f>
        <v>0</v>
      </c>
      <c r="M71" s="74">
        <f ca="1">+M16*Recycling!I17</f>
        <v>0</v>
      </c>
      <c r="N71" s="74">
        <f ca="1">+N16*Recycling!J17</f>
        <v>0</v>
      </c>
      <c r="O71" s="137">
        <f ca="1">SUM(K71:N71)</f>
        <v>1824.9065488430435</v>
      </c>
      <c r="P71" s="136">
        <f ca="1">+P16*Recycling!K17</f>
        <v>0</v>
      </c>
      <c r="Q71" s="74">
        <f ca="1">+Q16*Recycling!L17</f>
        <v>0</v>
      </c>
      <c r="R71" s="74">
        <f ca="1">+R16*Recycling!M17</f>
        <v>0</v>
      </c>
      <c r="S71" s="74">
        <f ca="1">+S16*Recycling!N17</f>
        <v>0</v>
      </c>
      <c r="T71" s="74">
        <f ca="1">+T16*Recycling!O17</f>
        <v>0</v>
      </c>
      <c r="U71" s="137">
        <f t="shared" ref="U71:U73" ca="1" si="25">SUM(P71:T71)</f>
        <v>0</v>
      </c>
      <c r="V71" s="74">
        <f ca="1">+V16*Recycling!P17</f>
        <v>0</v>
      </c>
      <c r="W71" s="74">
        <f ca="1">+W16*Recycling!Q17</f>
        <v>0</v>
      </c>
      <c r="X71" s="74">
        <f ca="1">+X16*Recycling!R17</f>
        <v>0</v>
      </c>
    </row>
    <row r="72" spans="2:25" s="1" customFormat="1" x14ac:dyDescent="0.5">
      <c r="B72" s="2" t="s">
        <v>5</v>
      </c>
      <c r="E72" s="2"/>
      <c r="F72" s="2"/>
      <c r="G72" s="293"/>
      <c r="H72" s="99">
        <f ca="1">+SUM(O72,U72:X72)</f>
        <v>5918.3382604078315</v>
      </c>
      <c r="I72" s="305">
        <f ca="1">H72/$H$61</f>
        <v>2.8658702243297734E-2</v>
      </c>
      <c r="J72" s="112"/>
      <c r="K72" s="74">
        <f ca="1">+K17*Recycling!G18</f>
        <v>108.15605563132671</v>
      </c>
      <c r="L72" s="74">
        <f ca="1">+L17*Recycling!H18</f>
        <v>216.31211126265342</v>
      </c>
      <c r="M72" s="74">
        <f ca="1">+M17*Recycling!I18</f>
        <v>216.08461980728521</v>
      </c>
      <c r="N72" s="74">
        <f ca="1">+N17*Recycling!J18</f>
        <v>238.01596687200515</v>
      </c>
      <c r="O72" s="137">
        <f ca="1">SUM(K72:N72)</f>
        <v>778.56875357327056</v>
      </c>
      <c r="P72" s="136">
        <f ca="1">+P17*Recycling!K18</f>
        <v>1343.7839203631754</v>
      </c>
      <c r="Q72" s="74">
        <f ca="1">+Q17*Recycling!L18</f>
        <v>2670.9456420175366</v>
      </c>
      <c r="R72" s="74">
        <f ca="1">+R17*Recycling!M18</f>
        <v>1125.0399444538489</v>
      </c>
      <c r="S72" s="74">
        <f ca="1">+S17*Recycling!N18</f>
        <v>0</v>
      </c>
      <c r="T72" s="74">
        <f ca="1">+T17*Recycling!O18</f>
        <v>0</v>
      </c>
      <c r="U72" s="137">
        <f t="shared" ca="1" si="25"/>
        <v>5139.7695068345611</v>
      </c>
      <c r="V72" s="74">
        <f ca="1">+V17*Recycling!P18</f>
        <v>0</v>
      </c>
      <c r="W72" s="74">
        <f ca="1">+W17*Recycling!Q18</f>
        <v>0</v>
      </c>
      <c r="X72" s="74">
        <f ca="1">+X17*Recycling!R18</f>
        <v>0</v>
      </c>
    </row>
    <row r="73" spans="2:25" s="1" customFormat="1" x14ac:dyDescent="0.5">
      <c r="B73" s="47" t="s">
        <v>6</v>
      </c>
      <c r="C73" s="48"/>
      <c r="D73" s="48"/>
      <c r="E73" s="48"/>
      <c r="F73" s="48"/>
      <c r="G73" s="293"/>
      <c r="H73" s="101">
        <f ca="1">+SUM(O73,U73:X73)</f>
        <v>4073.7907136475637</v>
      </c>
      <c r="I73" s="307">
        <f ca="1">H73/$H$61</f>
        <v>1.9726745908553684E-2</v>
      </c>
      <c r="J73" s="112"/>
      <c r="K73" s="49">
        <f ca="1">+K18*Recycling!G19</f>
        <v>198.28347078761956</v>
      </c>
      <c r="L73" s="49">
        <f ca="1">+L18*Recycling!H19</f>
        <v>0</v>
      </c>
      <c r="M73" s="49">
        <f ca="1">+M18*Recycling!I19</f>
        <v>2523.5611030477835</v>
      </c>
      <c r="N73" s="49">
        <f ca="1">+N18*Recycling!J19</f>
        <v>82.796676027914756</v>
      </c>
      <c r="O73" s="144">
        <f ca="1">SUM(K73:N73)</f>
        <v>2804.6412498633176</v>
      </c>
      <c r="P73" s="143">
        <f ca="1">+P18*Recycling!K19</f>
        <v>371.01923806096374</v>
      </c>
      <c r="Q73" s="49">
        <f ca="1">+Q18*Recycling!L19</f>
        <v>583.1713132784181</v>
      </c>
      <c r="R73" s="49">
        <f ca="1">+R18*Recycling!M19</f>
        <v>242.72621816784542</v>
      </c>
      <c r="S73" s="49">
        <f ca="1">+S18*Recycling!N19</f>
        <v>0</v>
      </c>
      <c r="T73" s="49">
        <f ca="1">+T18*Recycling!O19</f>
        <v>0</v>
      </c>
      <c r="U73" s="144">
        <f t="shared" ca="1" si="25"/>
        <v>1196.9167695072272</v>
      </c>
      <c r="V73" s="49">
        <f ca="1">+V18*Recycling!P19</f>
        <v>0</v>
      </c>
      <c r="W73" s="49">
        <f ca="1">+W18*Recycling!Q19</f>
        <v>72.232694277019149</v>
      </c>
      <c r="X73" s="49">
        <f ca="1">+X18*Recycling!R19</f>
        <v>0</v>
      </c>
    </row>
    <row r="74" spans="2:25" s="43" customFormat="1" x14ac:dyDescent="0.5">
      <c r="B74" s="44" t="s">
        <v>34</v>
      </c>
      <c r="G74" s="294"/>
      <c r="H74" s="103">
        <f ca="1">SUM(H70:H73)</f>
        <v>21007.881562093531</v>
      </c>
      <c r="I74" s="308">
        <f ca="1">H74/$H$61</f>
        <v>0.10172764650478346</v>
      </c>
      <c r="J74" s="113"/>
      <c r="K74" s="152">
        <f t="shared" ref="K74:R74" ca="1" si="26">SUM(K70:K73)</f>
        <v>4073.8413486838385</v>
      </c>
      <c r="L74" s="152">
        <f t="shared" ca="1" si="26"/>
        <v>7464.6628770358975</v>
      </c>
      <c r="M74" s="152">
        <f ca="1">SUM(M70:M73)</f>
        <v>2739.6457228550689</v>
      </c>
      <c r="N74" s="152">
        <f ca="1">SUM(N70:N73)</f>
        <v>320.81264289991992</v>
      </c>
      <c r="O74" s="137">
        <f t="shared" ca="1" si="26"/>
        <v>14598.962591474727</v>
      </c>
      <c r="P74" s="151">
        <f t="shared" ca="1" si="26"/>
        <v>1714.8031584241392</v>
      </c>
      <c r="Q74" s="152">
        <f t="shared" ca="1" si="26"/>
        <v>3254.1169552959545</v>
      </c>
      <c r="R74" s="152">
        <f t="shared" ca="1" si="26"/>
        <v>1367.7661626216943</v>
      </c>
      <c r="S74" s="152">
        <f ca="1">SUM(S70:S73)</f>
        <v>0</v>
      </c>
      <c r="T74" s="152">
        <f t="shared" ref="T74:X74" ca="1" si="27">SUM(T70:T73)</f>
        <v>0</v>
      </c>
      <c r="U74" s="137">
        <f t="shared" ca="1" si="27"/>
        <v>6336.6862763417885</v>
      </c>
      <c r="V74" s="152">
        <f t="shared" ca="1" si="27"/>
        <v>0</v>
      </c>
      <c r="W74" s="152">
        <f t="shared" ca="1" si="27"/>
        <v>72.232694277019149</v>
      </c>
      <c r="X74" s="152">
        <f t="shared" ca="1" si="27"/>
        <v>0</v>
      </c>
    </row>
    <row r="75" spans="2:25" s="1" customFormat="1" ht="7.1" customHeight="1" x14ac:dyDescent="0.5">
      <c r="B75" s="3"/>
      <c r="G75" s="295"/>
      <c r="H75" s="100"/>
      <c r="I75" s="100"/>
      <c r="J75" s="112"/>
      <c r="K75" s="74"/>
      <c r="L75" s="74"/>
      <c r="M75" s="74"/>
      <c r="N75" s="74"/>
      <c r="O75" s="137"/>
      <c r="P75" s="136"/>
      <c r="Q75" s="74"/>
      <c r="R75" s="74"/>
      <c r="S75" s="74"/>
      <c r="T75" s="74"/>
      <c r="U75" s="137"/>
      <c r="V75" s="74"/>
      <c r="W75" s="74"/>
      <c r="X75" s="74"/>
    </row>
    <row r="76" spans="2:25" s="1" customFormat="1" x14ac:dyDescent="0.5">
      <c r="B76" s="10" t="s">
        <v>22</v>
      </c>
      <c r="C76" s="9"/>
      <c r="D76" s="9"/>
      <c r="E76" s="9"/>
      <c r="F76" s="9"/>
      <c r="G76" s="294"/>
      <c r="H76" s="106"/>
      <c r="I76" s="106"/>
      <c r="J76" s="112"/>
      <c r="K76" s="140"/>
      <c r="L76" s="140"/>
      <c r="M76" s="140"/>
      <c r="N76" s="140"/>
      <c r="O76" s="141"/>
      <c r="P76" s="139"/>
      <c r="Q76" s="140"/>
      <c r="R76" s="140"/>
      <c r="S76" s="140"/>
      <c r="T76" s="140"/>
      <c r="U76" s="141"/>
      <c r="V76" s="140"/>
      <c r="W76" s="140"/>
      <c r="X76" s="140"/>
    </row>
    <row r="77" spans="2:25" s="1" customFormat="1" x14ac:dyDescent="0.5">
      <c r="B77" s="2" t="s">
        <v>53</v>
      </c>
      <c r="G77" s="296"/>
      <c r="H77" s="100"/>
      <c r="I77" s="100"/>
      <c r="J77" s="112"/>
      <c r="K77" s="74"/>
      <c r="L77" s="74"/>
      <c r="M77" s="74"/>
      <c r="N77" s="74"/>
      <c r="O77" s="137"/>
      <c r="P77" s="136"/>
      <c r="Q77" s="74"/>
      <c r="R77" s="74"/>
      <c r="S77" s="74"/>
      <c r="T77" s="74"/>
      <c r="U77" s="137"/>
      <c r="V77" s="74"/>
      <c r="W77" s="74"/>
      <c r="X77" s="74"/>
    </row>
    <row r="78" spans="2:25" s="1" customFormat="1" x14ac:dyDescent="0.5">
      <c r="B78" s="2"/>
      <c r="C78" s="2" t="s">
        <v>47</v>
      </c>
      <c r="G78" s="293"/>
      <c r="H78" s="99">
        <f ca="1">+SUM(O78,U78:X78)</f>
        <v>1876.7650872718391</v>
      </c>
      <c r="I78" s="305">
        <f t="shared" ref="I78:I82" ca="1" si="28">H78/$H$61</f>
        <v>9.0879651432822905E-3</v>
      </c>
      <c r="J78" s="112"/>
      <c r="K78" s="74">
        <f ca="1">+K23*Recycling!G23</f>
        <v>0</v>
      </c>
      <c r="L78" s="74">
        <f ca="1">+L23*Recycling!H23</f>
        <v>0</v>
      </c>
      <c r="M78" s="74">
        <f ca="1">+M23*Recycling!I23</f>
        <v>0</v>
      </c>
      <c r="N78" s="74">
        <f ca="1">+N23*Recycling!J23</f>
        <v>0</v>
      </c>
      <c r="O78" s="137">
        <f ca="1">SUM(K78:N78)</f>
        <v>0</v>
      </c>
      <c r="P78" s="136">
        <f ca="1">+P23*Recycling!K23</f>
        <v>0</v>
      </c>
      <c r="Q78" s="74">
        <f ca="1">+Q23*Recycling!L23</f>
        <v>0</v>
      </c>
      <c r="R78" s="74">
        <f ca="1">+R23*Recycling!M23</f>
        <v>1876.7650872718391</v>
      </c>
      <c r="S78" s="74">
        <f ca="1">+S23*Recycling!N23</f>
        <v>0</v>
      </c>
      <c r="T78" s="74">
        <f ca="1">+T23*Recycling!O23</f>
        <v>0</v>
      </c>
      <c r="U78" s="137">
        <f t="shared" ref="U78:U81" ca="1" si="29">SUM(P78:T78)</f>
        <v>1876.7650872718391</v>
      </c>
      <c r="V78" s="74">
        <f ca="1">+V23*Recycling!P23</f>
        <v>0</v>
      </c>
      <c r="W78" s="74">
        <f ca="1">+W23*Recycling!Q23</f>
        <v>0</v>
      </c>
      <c r="X78" s="74">
        <f ca="1">+X23*Recycling!R23</f>
        <v>0</v>
      </c>
    </row>
    <row r="79" spans="2:25" s="1" customFormat="1" x14ac:dyDescent="0.5">
      <c r="B79" s="3"/>
      <c r="C79" s="2" t="s">
        <v>48</v>
      </c>
      <c r="E79" s="2"/>
      <c r="F79" s="2"/>
      <c r="G79" s="293"/>
      <c r="H79" s="99">
        <f ca="1">+SUM(O79,U79:X79)</f>
        <v>7542.8393618057962</v>
      </c>
      <c r="I79" s="305">
        <f t="shared" ca="1" si="28"/>
        <v>3.6525115298854535E-2</v>
      </c>
      <c r="J79" s="112"/>
      <c r="K79" s="74">
        <f ca="1">+K24*Recycling!G24</f>
        <v>0</v>
      </c>
      <c r="L79" s="74">
        <f ca="1">+L24*Recycling!H24</f>
        <v>0</v>
      </c>
      <c r="M79" s="74">
        <f ca="1">+M24*Recycling!I24</f>
        <v>0</v>
      </c>
      <c r="N79" s="74">
        <f ca="1">+N24*Recycling!J24</f>
        <v>0</v>
      </c>
      <c r="O79" s="137">
        <f ca="1">SUM(K79:N79)</f>
        <v>0</v>
      </c>
      <c r="P79" s="136">
        <f ca="1">+P24*Recycling!K24</f>
        <v>7403.3887762091745</v>
      </c>
      <c r="Q79" s="74">
        <f ca="1">+Q24*Recycling!L24</f>
        <v>0</v>
      </c>
      <c r="R79" s="74">
        <f ca="1">+R24*Recycling!M24</f>
        <v>139.45058559662195</v>
      </c>
      <c r="S79" s="74">
        <f ca="1">+S24*Recycling!N24</f>
        <v>0</v>
      </c>
      <c r="T79" s="74">
        <f ca="1">+T24*Recycling!O24</f>
        <v>0</v>
      </c>
      <c r="U79" s="137">
        <f t="shared" ca="1" si="29"/>
        <v>7542.8393618057962</v>
      </c>
      <c r="V79" s="74">
        <f ca="1">+V24*Recycling!P24</f>
        <v>0</v>
      </c>
      <c r="W79" s="74">
        <f ca="1">+W24*Recycling!Q24</f>
        <v>0</v>
      </c>
      <c r="X79" s="74">
        <f ca="1">+X24*Recycling!R24</f>
        <v>0</v>
      </c>
    </row>
    <row r="80" spans="2:25" s="1" customFormat="1" x14ac:dyDescent="0.5">
      <c r="B80" s="2" t="s">
        <v>46</v>
      </c>
      <c r="C80" s="2"/>
      <c r="E80" s="2"/>
      <c r="F80" s="2"/>
      <c r="G80" s="293"/>
      <c r="H80" s="99">
        <f ca="1">+SUM(O80,U80:X80)</f>
        <v>1556.8098692694725</v>
      </c>
      <c r="I80" s="305">
        <f t="shared" ca="1" si="28"/>
        <v>7.5386279948362724E-3</v>
      </c>
      <c r="J80" s="112"/>
      <c r="K80" s="74">
        <f ca="1">+K25*Recycling!G25</f>
        <v>0</v>
      </c>
      <c r="L80" s="74">
        <f ca="1">+L25*Recycling!H25</f>
        <v>0</v>
      </c>
      <c r="M80" s="74">
        <f ca="1">+M25*Recycling!I25</f>
        <v>0</v>
      </c>
      <c r="N80" s="74">
        <f ca="1">+N25*Recycling!J25</f>
        <v>0</v>
      </c>
      <c r="O80" s="137">
        <f ca="1">SUM(K80:N80)</f>
        <v>0</v>
      </c>
      <c r="P80" s="136">
        <f ca="1">+P25*Recycling!K25</f>
        <v>1556.8098692694725</v>
      </c>
      <c r="Q80" s="74">
        <f ca="1">+Q25*Recycling!L25</f>
        <v>0</v>
      </c>
      <c r="R80" s="74">
        <f ca="1">+R25*Recycling!M25</f>
        <v>0</v>
      </c>
      <c r="S80" s="74">
        <f ca="1">+S25*Recycling!N25</f>
        <v>0</v>
      </c>
      <c r="T80" s="74">
        <f ca="1">+T25*Recycling!O25</f>
        <v>0</v>
      </c>
      <c r="U80" s="137">
        <f t="shared" ca="1" si="29"/>
        <v>1556.8098692694725</v>
      </c>
      <c r="V80" s="74">
        <f ca="1">+V25*Recycling!P25</f>
        <v>0</v>
      </c>
      <c r="W80" s="74">
        <f ca="1">+W25*Recycling!Q25</f>
        <v>0</v>
      </c>
      <c r="X80" s="74">
        <f ca="1">+X25*Recycling!R25</f>
        <v>0</v>
      </c>
    </row>
    <row r="81" spans="2:24" s="1" customFormat="1" x14ac:dyDescent="0.5">
      <c r="B81" s="47" t="s">
        <v>8</v>
      </c>
      <c r="C81" s="48"/>
      <c r="D81" s="48"/>
      <c r="E81" s="47"/>
      <c r="F81" s="47"/>
      <c r="G81" s="293"/>
      <c r="H81" s="101">
        <f ca="1">+SUM(O81,U81:X81)</f>
        <v>4018.2862794939711</v>
      </c>
      <c r="I81" s="307">
        <f t="shared" ca="1" si="28"/>
        <v>1.9457973665129913E-2</v>
      </c>
      <c r="J81" s="112"/>
      <c r="K81" s="49">
        <f ca="1">+K26*Recycling!G26</f>
        <v>0</v>
      </c>
      <c r="L81" s="49">
        <f ca="1">+L26*Recycling!H26</f>
        <v>0</v>
      </c>
      <c r="M81" s="49">
        <f ca="1">+M26*Recycling!I26</f>
        <v>51.693257417891182</v>
      </c>
      <c r="N81" s="49">
        <f ca="1">+N26*Recycling!J26</f>
        <v>0</v>
      </c>
      <c r="O81" s="144">
        <f ca="1">SUM(K81:N81)</f>
        <v>51.693257417891182</v>
      </c>
      <c r="P81" s="143">
        <f ca="1">+P26*Recycling!K26</f>
        <v>1434.751634455755</v>
      </c>
      <c r="Q81" s="49">
        <f ca="1">+Q26*Recycling!L26</f>
        <v>2465.1734961091556</v>
      </c>
      <c r="R81" s="49">
        <f ca="1">+R26*Recycling!M26</f>
        <v>66.667891511169174</v>
      </c>
      <c r="S81" s="49">
        <f ca="1">+S26*Recycling!N26</f>
        <v>0</v>
      </c>
      <c r="T81" s="49">
        <f ca="1">+T26*Recycling!O26</f>
        <v>0</v>
      </c>
      <c r="U81" s="144">
        <f t="shared" ca="1" si="29"/>
        <v>3966.5930220760797</v>
      </c>
      <c r="V81" s="49">
        <f ca="1">+V26*Recycling!P26</f>
        <v>0</v>
      </c>
      <c r="W81" s="49">
        <f ca="1">+W26*Recycling!Q26</f>
        <v>0</v>
      </c>
      <c r="X81" s="49">
        <f ca="1">+X26*Recycling!R26</f>
        <v>0</v>
      </c>
    </row>
    <row r="82" spans="2:24" s="43" customFormat="1" x14ac:dyDescent="0.5">
      <c r="B82" s="44" t="s">
        <v>35</v>
      </c>
      <c r="E82" s="44"/>
      <c r="F82" s="44"/>
      <c r="G82" s="294"/>
      <c r="H82" s="103">
        <f ca="1">SUM(H78:H81)</f>
        <v>14994.700597841078</v>
      </c>
      <c r="I82" s="308">
        <f t="shared" ca="1" si="28"/>
        <v>7.2609682102103001E-2</v>
      </c>
      <c r="J82" s="113"/>
      <c r="K82" s="152">
        <f ca="1">SUM(K78:K81)</f>
        <v>0</v>
      </c>
      <c r="L82" s="152">
        <f t="shared" ref="L82:R82" ca="1" si="30">SUM(L78:L81)</f>
        <v>0</v>
      </c>
      <c r="M82" s="152">
        <f ca="1">SUM(M78:M81)</f>
        <v>51.693257417891182</v>
      </c>
      <c r="N82" s="152">
        <f ca="1">SUM(N78:N81)</f>
        <v>0</v>
      </c>
      <c r="O82" s="137">
        <f t="shared" ca="1" si="30"/>
        <v>51.693257417891182</v>
      </c>
      <c r="P82" s="151">
        <f t="shared" ca="1" si="30"/>
        <v>10394.950279934403</v>
      </c>
      <c r="Q82" s="152">
        <f t="shared" ca="1" si="30"/>
        <v>2465.1734961091556</v>
      </c>
      <c r="R82" s="152">
        <f t="shared" ca="1" si="30"/>
        <v>2082.8835643796301</v>
      </c>
      <c r="S82" s="152">
        <f ca="1">SUM(S78:S81)</f>
        <v>0</v>
      </c>
      <c r="T82" s="152">
        <f t="shared" ref="T82:X82" ca="1" si="31">SUM(T78:T81)</f>
        <v>0</v>
      </c>
      <c r="U82" s="137">
        <f t="shared" ca="1" si="31"/>
        <v>14943.007340423188</v>
      </c>
      <c r="V82" s="152">
        <f t="shared" ca="1" si="31"/>
        <v>0</v>
      </c>
      <c r="W82" s="152">
        <f t="shared" ca="1" si="31"/>
        <v>0</v>
      </c>
      <c r="X82" s="152">
        <f t="shared" ca="1" si="31"/>
        <v>0</v>
      </c>
    </row>
    <row r="83" spans="2:24" s="1" customFormat="1" ht="7.1" customHeight="1" x14ac:dyDescent="0.5">
      <c r="B83" s="3"/>
      <c r="E83" s="2"/>
      <c r="F83" s="2"/>
      <c r="G83" s="295"/>
      <c r="H83" s="100"/>
      <c r="I83" s="100"/>
      <c r="J83" s="112"/>
      <c r="K83" s="74"/>
      <c r="L83" s="74"/>
      <c r="M83" s="74"/>
      <c r="N83" s="74"/>
      <c r="O83" s="137"/>
      <c r="P83" s="136"/>
      <c r="Q83" s="74"/>
      <c r="R83" s="74"/>
      <c r="S83" s="74"/>
      <c r="T83" s="74"/>
      <c r="U83" s="137"/>
      <c r="V83" s="74"/>
      <c r="W83" s="74"/>
      <c r="X83" s="74"/>
    </row>
    <row r="84" spans="2:24" s="1" customFormat="1" x14ac:dyDescent="0.5">
      <c r="B84" s="7" t="s">
        <v>23</v>
      </c>
      <c r="C84" s="9"/>
      <c r="D84" s="9"/>
      <c r="E84" s="9"/>
      <c r="F84" s="9"/>
      <c r="G84" s="294"/>
      <c r="H84" s="107"/>
      <c r="I84" s="107"/>
      <c r="J84" s="112"/>
      <c r="K84" s="140"/>
      <c r="L84" s="140"/>
      <c r="M84" s="140"/>
      <c r="N84" s="140"/>
      <c r="O84" s="141"/>
      <c r="P84" s="139"/>
      <c r="Q84" s="140"/>
      <c r="R84" s="140"/>
      <c r="S84" s="140"/>
      <c r="T84" s="140"/>
      <c r="U84" s="141"/>
      <c r="V84" s="140"/>
      <c r="W84" s="140"/>
      <c r="X84" s="140"/>
    </row>
    <row r="85" spans="2:24" s="1" customFormat="1" x14ac:dyDescent="0.5">
      <c r="B85" s="2" t="s">
        <v>45</v>
      </c>
      <c r="C85" s="2"/>
      <c r="F85" s="2"/>
      <c r="G85" s="293"/>
      <c r="H85" s="99">
        <f ca="1">+SUM(O85,U85:X85)</f>
        <v>29159.219428135246</v>
      </c>
      <c r="I85" s="305">
        <f t="shared" ref="I85:I87" ca="1" si="32">H85/$H$61</f>
        <v>0.14119932833651941</v>
      </c>
      <c r="J85" s="112"/>
      <c r="K85" s="74">
        <f ca="1">+K30*Recycling!G29</f>
        <v>0</v>
      </c>
      <c r="L85" s="74">
        <f ca="1">+L30*Recycling!H29</f>
        <v>29159.219428135246</v>
      </c>
      <c r="M85" s="74">
        <f ca="1">+M30*Recycling!I29</f>
        <v>0</v>
      </c>
      <c r="N85" s="74">
        <f ca="1">+N30*Recycling!J29</f>
        <v>0</v>
      </c>
      <c r="O85" s="137">
        <f ca="1">SUM(K85:N85)</f>
        <v>29159.219428135246</v>
      </c>
      <c r="P85" s="136">
        <f ca="1">+P30*Recycling!K29</f>
        <v>0</v>
      </c>
      <c r="Q85" s="74">
        <f ca="1">+Q30*Recycling!L29</f>
        <v>0</v>
      </c>
      <c r="R85" s="74">
        <f ca="1">+R30*Recycling!M29</f>
        <v>0</v>
      </c>
      <c r="S85" s="74">
        <f ca="1">+S30*Recycling!N29</f>
        <v>0</v>
      </c>
      <c r="T85" s="74">
        <f ca="1">+T30*Recycling!O29</f>
        <v>0</v>
      </c>
      <c r="U85" s="137">
        <f t="shared" ref="U85:U86" ca="1" si="33">SUM(P85:T85)</f>
        <v>0</v>
      </c>
      <c r="V85" s="74">
        <f ca="1">+V30*Recycling!P29</f>
        <v>0</v>
      </c>
      <c r="W85" s="74">
        <f ca="1">+W30*Recycling!Q29</f>
        <v>0</v>
      </c>
      <c r="X85" s="74">
        <f ca="1">+X30*Recycling!R29</f>
        <v>0</v>
      </c>
    </row>
    <row r="86" spans="2:24" s="1" customFormat="1" x14ac:dyDescent="0.5">
      <c r="B86" s="47" t="s">
        <v>9</v>
      </c>
      <c r="C86" s="48"/>
      <c r="D86" s="48"/>
      <c r="E86" s="47"/>
      <c r="F86" s="47"/>
      <c r="G86" s="293"/>
      <c r="H86" s="101">
        <f ca="1">+SUM(O86,U86:X86)</f>
        <v>140.048225635199</v>
      </c>
      <c r="I86" s="307">
        <f t="shared" ca="1" si="32"/>
        <v>6.7816340019483242E-4</v>
      </c>
      <c r="J86" s="112"/>
      <c r="K86" s="49">
        <f ca="1">+K31*Recycling!G30</f>
        <v>140.048225635199</v>
      </c>
      <c r="L86" s="49">
        <f ca="1">+L31*Recycling!H30</f>
        <v>0</v>
      </c>
      <c r="M86" s="49">
        <f ca="1">+M31*Recycling!I30</f>
        <v>0</v>
      </c>
      <c r="N86" s="49">
        <f ca="1">+N31*Recycling!J30</f>
        <v>0</v>
      </c>
      <c r="O86" s="144">
        <f ca="1">SUM(K86:N86)</f>
        <v>140.048225635199</v>
      </c>
      <c r="P86" s="143">
        <f ca="1">+P31*Recycling!K30</f>
        <v>0</v>
      </c>
      <c r="Q86" s="49">
        <f ca="1">+Q31*Recycling!L30</f>
        <v>0</v>
      </c>
      <c r="R86" s="49">
        <f ca="1">+R31*Recycling!M30</f>
        <v>0</v>
      </c>
      <c r="S86" s="49">
        <f ca="1">+S31*Recycling!N30</f>
        <v>0</v>
      </c>
      <c r="T86" s="49">
        <f ca="1">+T31*Recycling!O30</f>
        <v>0</v>
      </c>
      <c r="U86" s="144">
        <f t="shared" ca="1" si="33"/>
        <v>0</v>
      </c>
      <c r="V86" s="49">
        <f ca="1">+V31*Recycling!P30</f>
        <v>0</v>
      </c>
      <c r="W86" s="49">
        <f ca="1">+W31*Recycling!Q30</f>
        <v>0</v>
      </c>
      <c r="X86" s="49">
        <f ca="1">+X31*Recycling!R30</f>
        <v>0</v>
      </c>
    </row>
    <row r="87" spans="2:24" s="43" customFormat="1" x14ac:dyDescent="0.5">
      <c r="B87" s="44" t="s">
        <v>36</v>
      </c>
      <c r="E87" s="44"/>
      <c r="F87" s="44"/>
      <c r="G87" s="297"/>
      <c r="H87" s="103">
        <f ca="1">SUM(H85:H86)</f>
        <v>29299.267653770446</v>
      </c>
      <c r="I87" s="308">
        <f t="shared" ca="1" si="32"/>
        <v>0.14187749173671424</v>
      </c>
      <c r="J87" s="113"/>
      <c r="K87" s="152">
        <f t="shared" ref="K87:R87" ca="1" si="34">SUM(K85:K86)</f>
        <v>140.048225635199</v>
      </c>
      <c r="L87" s="152">
        <f t="shared" ca="1" si="34"/>
        <v>29159.219428135246</v>
      </c>
      <c r="M87" s="152">
        <f ca="1">SUM(M85:M86)</f>
        <v>0</v>
      </c>
      <c r="N87" s="152">
        <f ca="1">SUM(N85:N86)</f>
        <v>0</v>
      </c>
      <c r="O87" s="137">
        <f t="shared" ca="1" si="34"/>
        <v>29299.267653770446</v>
      </c>
      <c r="P87" s="151">
        <f t="shared" ca="1" si="34"/>
        <v>0</v>
      </c>
      <c r="Q87" s="152">
        <f t="shared" ca="1" si="34"/>
        <v>0</v>
      </c>
      <c r="R87" s="152">
        <f t="shared" ca="1" si="34"/>
        <v>0</v>
      </c>
      <c r="S87" s="152">
        <f ca="1">SUM(S85:S86)</f>
        <v>0</v>
      </c>
      <c r="T87" s="152">
        <f t="shared" ref="T87:X87" ca="1" si="35">SUM(T85:T86)</f>
        <v>0</v>
      </c>
      <c r="U87" s="137">
        <f t="shared" ca="1" si="35"/>
        <v>0</v>
      </c>
      <c r="V87" s="152">
        <f t="shared" ca="1" si="35"/>
        <v>0</v>
      </c>
      <c r="W87" s="152">
        <f t="shared" ca="1" si="35"/>
        <v>0</v>
      </c>
      <c r="X87" s="152">
        <f t="shared" ca="1" si="35"/>
        <v>0</v>
      </c>
    </row>
    <row r="88" spans="2:24" s="1" customFormat="1" ht="7.1" customHeight="1" x14ac:dyDescent="0.5">
      <c r="B88" s="3"/>
      <c r="G88" s="295"/>
      <c r="H88" s="100"/>
      <c r="I88" s="100"/>
      <c r="J88" s="112"/>
      <c r="K88" s="74"/>
      <c r="L88" s="74"/>
      <c r="M88" s="74"/>
      <c r="N88" s="74"/>
      <c r="O88" s="137"/>
      <c r="P88" s="136"/>
      <c r="Q88" s="74"/>
      <c r="R88" s="74"/>
      <c r="S88" s="74"/>
      <c r="T88" s="74"/>
      <c r="U88" s="137"/>
      <c r="V88" s="74"/>
      <c r="W88" s="74"/>
      <c r="X88" s="74"/>
    </row>
    <row r="89" spans="2:24" s="1" customFormat="1" x14ac:dyDescent="0.5">
      <c r="B89" s="7" t="s">
        <v>10</v>
      </c>
      <c r="C89" s="9"/>
      <c r="D89" s="9"/>
      <c r="E89" s="9"/>
      <c r="F89" s="9"/>
      <c r="G89" s="294"/>
      <c r="H89" s="105"/>
      <c r="I89" s="105"/>
      <c r="J89" s="112"/>
      <c r="K89" s="140"/>
      <c r="L89" s="140"/>
      <c r="M89" s="140"/>
      <c r="N89" s="140"/>
      <c r="O89" s="141"/>
      <c r="P89" s="139"/>
      <c r="Q89" s="140"/>
      <c r="R89" s="140"/>
      <c r="S89" s="140"/>
      <c r="T89" s="140"/>
      <c r="U89" s="141"/>
      <c r="V89" s="140"/>
      <c r="W89" s="140"/>
      <c r="X89" s="140"/>
    </row>
    <row r="90" spans="2:24" s="1" customFormat="1" x14ac:dyDescent="0.5">
      <c r="B90" s="2" t="s">
        <v>49</v>
      </c>
      <c r="G90" s="293"/>
      <c r="H90" s="99">
        <f ca="1">+SUM(O90,U90:X90)</f>
        <v>3481.5646769792997</v>
      </c>
      <c r="I90" s="305">
        <f t="shared" ref="I90:I92" ca="1" si="36">H90/$H$61</f>
        <v>1.6858976460642043E-2</v>
      </c>
      <c r="J90" s="112"/>
      <c r="K90" s="74">
        <f ca="1">+K35*Recycling!G33</f>
        <v>3481.5646769792997</v>
      </c>
      <c r="L90" s="74">
        <f ca="1">+L35*Recycling!H33</f>
        <v>0</v>
      </c>
      <c r="M90" s="74">
        <f ca="1">+M35*Recycling!I33</f>
        <v>0</v>
      </c>
      <c r="N90" s="74">
        <f ca="1">+N35*Recycling!J33</f>
        <v>0</v>
      </c>
      <c r="O90" s="137">
        <f ca="1">SUM(K90:N90)</f>
        <v>3481.5646769792997</v>
      </c>
      <c r="P90" s="136">
        <f ca="1">+P35*Recycling!K33</f>
        <v>0</v>
      </c>
      <c r="Q90" s="74">
        <f ca="1">+Q35*Recycling!L33</f>
        <v>0</v>
      </c>
      <c r="R90" s="74">
        <f ca="1">+R35*Recycling!M33</f>
        <v>0</v>
      </c>
      <c r="S90" s="74">
        <f ca="1">+S35*Recycling!N33</f>
        <v>0</v>
      </c>
      <c r="T90" s="74">
        <f ca="1">+T35*Recycling!O33</f>
        <v>0</v>
      </c>
      <c r="U90" s="137">
        <f t="shared" ref="U90:U91" ca="1" si="37">SUM(P90:T90)</f>
        <v>0</v>
      </c>
      <c r="V90" s="74">
        <f ca="1">+V35*Recycling!P33</f>
        <v>0</v>
      </c>
      <c r="W90" s="74">
        <f ca="1">+W35*Recycling!Q33</f>
        <v>0</v>
      </c>
      <c r="X90" s="74">
        <f ca="1">+X35*Recycling!R33</f>
        <v>0</v>
      </c>
    </row>
    <row r="91" spans="2:24" s="1" customFormat="1" x14ac:dyDescent="0.5">
      <c r="B91" s="47" t="s">
        <v>7</v>
      </c>
      <c r="C91" s="48"/>
      <c r="D91" s="48"/>
      <c r="E91" s="48"/>
      <c r="F91" s="48"/>
      <c r="G91" s="293"/>
      <c r="H91" s="101">
        <f ca="1">+SUM(O91,U91:X91)</f>
        <v>23913.56521384418</v>
      </c>
      <c r="I91" s="307">
        <f t="shared" ca="1" si="36"/>
        <v>0.11579800188575513</v>
      </c>
      <c r="J91" s="112"/>
      <c r="K91" s="49">
        <f ca="1">+K36*Recycling!G34</f>
        <v>6742.1241754435378</v>
      </c>
      <c r="L91" s="49">
        <f ca="1">+L36*Recycling!H34</f>
        <v>0</v>
      </c>
      <c r="M91" s="49">
        <f ca="1">+M36*Recycling!I34</f>
        <v>0</v>
      </c>
      <c r="N91" s="49">
        <f ca="1">+N36*Recycling!J34</f>
        <v>0</v>
      </c>
      <c r="O91" s="144">
        <f ca="1">SUM(K91:N91)</f>
        <v>6742.1241754435378</v>
      </c>
      <c r="P91" s="143">
        <f ca="1">+P36*Recycling!K34</f>
        <v>7566.7841411620348</v>
      </c>
      <c r="Q91" s="49">
        <f ca="1">+Q36*Recycling!L34</f>
        <v>9343.0577794825094</v>
      </c>
      <c r="R91" s="49">
        <f ca="1">+R36*Recycling!M34</f>
        <v>261.59911775609839</v>
      </c>
      <c r="S91" s="49">
        <f ca="1">+S36*Recycling!N34</f>
        <v>0</v>
      </c>
      <c r="T91" s="49">
        <f ca="1">+T36*Recycling!O34</f>
        <v>0</v>
      </c>
      <c r="U91" s="144">
        <f t="shared" ca="1" si="37"/>
        <v>17171.441038400641</v>
      </c>
      <c r="V91" s="49">
        <f ca="1">+V36*Recycling!P34</f>
        <v>0</v>
      </c>
      <c r="W91" s="49">
        <f ca="1">+W36*Recycling!Q34</f>
        <v>0</v>
      </c>
      <c r="X91" s="49">
        <f ca="1">+X36*Recycling!R34</f>
        <v>0</v>
      </c>
    </row>
    <row r="92" spans="2:24" s="43" customFormat="1" x14ac:dyDescent="0.5">
      <c r="B92" s="44" t="s">
        <v>57</v>
      </c>
      <c r="G92" s="294"/>
      <c r="H92" s="102">
        <f ca="1">SUM(H90:H91)</f>
        <v>27395.129890823478</v>
      </c>
      <c r="I92" s="308">
        <f t="shared" ca="1" si="36"/>
        <v>0.13265697834639717</v>
      </c>
      <c r="J92" s="113"/>
      <c r="K92" s="152">
        <f t="shared" ref="K92:R92" ca="1" si="38">SUM(K90:K91)</f>
        <v>10223.688852422838</v>
      </c>
      <c r="L92" s="152">
        <f t="shared" ca="1" si="38"/>
        <v>0</v>
      </c>
      <c r="M92" s="152">
        <f ca="1">SUM(M90:M91)</f>
        <v>0</v>
      </c>
      <c r="N92" s="152">
        <f ca="1">SUM(N90:N91)</f>
        <v>0</v>
      </c>
      <c r="O92" s="137">
        <f t="shared" ca="1" si="38"/>
        <v>10223.688852422838</v>
      </c>
      <c r="P92" s="151">
        <f t="shared" ca="1" si="38"/>
        <v>7566.7841411620348</v>
      </c>
      <c r="Q92" s="152">
        <f t="shared" ca="1" si="38"/>
        <v>9343.0577794825094</v>
      </c>
      <c r="R92" s="152">
        <f t="shared" ca="1" si="38"/>
        <v>261.59911775609839</v>
      </c>
      <c r="S92" s="152">
        <f ca="1">SUM(S90:S91)</f>
        <v>0</v>
      </c>
      <c r="T92" s="152">
        <f t="shared" ref="T92:X92" ca="1" si="39">SUM(T90:T91)</f>
        <v>0</v>
      </c>
      <c r="U92" s="137">
        <f t="shared" ca="1" si="39"/>
        <v>17171.441038400641</v>
      </c>
      <c r="V92" s="152">
        <f t="shared" ca="1" si="39"/>
        <v>0</v>
      </c>
      <c r="W92" s="152">
        <f t="shared" ca="1" si="39"/>
        <v>0</v>
      </c>
      <c r="X92" s="152">
        <f t="shared" ca="1" si="39"/>
        <v>0</v>
      </c>
    </row>
    <row r="93" spans="2:24" s="1" customFormat="1" ht="7.1" customHeight="1" x14ac:dyDescent="0.5">
      <c r="B93" s="3"/>
      <c r="G93" s="298"/>
      <c r="H93" s="100"/>
      <c r="I93" s="100"/>
      <c r="J93" s="112"/>
      <c r="K93" s="74"/>
      <c r="L93" s="74"/>
      <c r="M93" s="74"/>
      <c r="N93" s="74"/>
      <c r="O93" s="137"/>
      <c r="P93" s="136"/>
      <c r="Q93" s="74"/>
      <c r="R93" s="74"/>
      <c r="S93" s="74"/>
      <c r="T93" s="74"/>
      <c r="U93" s="137"/>
      <c r="V93" s="74"/>
      <c r="W93" s="74"/>
      <c r="X93" s="74"/>
    </row>
    <row r="94" spans="2:24" s="1" customFormat="1" x14ac:dyDescent="0.5">
      <c r="B94" s="7" t="s">
        <v>24</v>
      </c>
      <c r="C94" s="9"/>
      <c r="D94" s="9"/>
      <c r="E94" s="9"/>
      <c r="F94" s="9"/>
      <c r="G94" s="294"/>
      <c r="H94" s="107"/>
      <c r="I94" s="107"/>
      <c r="J94" s="112"/>
      <c r="K94" s="140"/>
      <c r="L94" s="140"/>
      <c r="M94" s="140"/>
      <c r="N94" s="140"/>
      <c r="O94" s="141"/>
      <c r="P94" s="139"/>
      <c r="Q94" s="140"/>
      <c r="R94" s="140"/>
      <c r="S94" s="140"/>
      <c r="T94" s="140"/>
      <c r="U94" s="141"/>
      <c r="V94" s="140"/>
      <c r="W94" s="140"/>
      <c r="X94" s="140"/>
    </row>
    <row r="95" spans="2:24" s="1" customFormat="1" x14ac:dyDescent="0.5">
      <c r="B95" s="2" t="s">
        <v>12</v>
      </c>
      <c r="G95" s="296"/>
      <c r="H95" s="100"/>
      <c r="I95" s="100"/>
      <c r="J95" s="112"/>
      <c r="K95" s="74"/>
      <c r="L95" s="74"/>
      <c r="M95" s="74"/>
      <c r="N95" s="74"/>
      <c r="O95" s="137"/>
      <c r="P95" s="136"/>
      <c r="Q95" s="74"/>
      <c r="R95" s="74"/>
      <c r="S95" s="74"/>
      <c r="T95" s="74"/>
      <c r="U95" s="137"/>
      <c r="V95" s="74"/>
      <c r="W95" s="74"/>
      <c r="X95" s="74"/>
    </row>
    <row r="96" spans="2:24" s="1" customFormat="1" x14ac:dyDescent="0.5">
      <c r="B96" s="3"/>
      <c r="C96" s="2" t="s">
        <v>13</v>
      </c>
      <c r="D96" s="2"/>
      <c r="F96" s="2"/>
      <c r="G96" s="293"/>
      <c r="H96" s="99">
        <f ca="1">+SUM(O96,U96:X96)</f>
        <v>4733.7492376058872</v>
      </c>
      <c r="I96" s="305">
        <f ca="1">H96/$H$61</f>
        <v>2.292250018937516E-2</v>
      </c>
      <c r="J96" s="112"/>
      <c r="K96" s="74">
        <f ca="1">+K41*Recycling!G38</f>
        <v>677.68835157818091</v>
      </c>
      <c r="L96" s="74">
        <f ca="1">+L41*Recycling!H38</f>
        <v>0</v>
      </c>
      <c r="M96" s="74">
        <f ca="1">+M41*Recycling!I38</f>
        <v>2015.6369651387624</v>
      </c>
      <c r="N96" s="74">
        <f ca="1">+N41*Recycling!J38</f>
        <v>2040.4239208889435</v>
      </c>
      <c r="O96" s="137">
        <f ca="1">SUM(K96:N96)</f>
        <v>4733.7492376058872</v>
      </c>
      <c r="P96" s="136">
        <f ca="1">+P41*Recycling!K38</f>
        <v>0</v>
      </c>
      <c r="Q96" s="74">
        <f ca="1">+Q41*Recycling!L38</f>
        <v>0</v>
      </c>
      <c r="R96" s="74">
        <f ca="1">+R41*Recycling!M38</f>
        <v>0</v>
      </c>
      <c r="S96" s="74">
        <f ca="1">+S41*Recycling!N38</f>
        <v>0</v>
      </c>
      <c r="T96" s="74">
        <f ca="1">+T41*Recycling!O38</f>
        <v>0</v>
      </c>
      <c r="U96" s="137">
        <f ca="1">SUM(P96:T96)</f>
        <v>0</v>
      </c>
      <c r="V96" s="74">
        <f ca="1">+V41*Recycling!P38</f>
        <v>0</v>
      </c>
      <c r="W96" s="74">
        <f ca="1">+W41*Recycling!Q38</f>
        <v>0</v>
      </c>
      <c r="X96" s="74">
        <f ca="1">+X41*Recycling!R38</f>
        <v>0</v>
      </c>
    </row>
    <row r="97" spans="2:24" s="1" customFormat="1" x14ac:dyDescent="0.5">
      <c r="B97" s="1" t="s">
        <v>14</v>
      </c>
      <c r="G97" s="295"/>
      <c r="H97" s="100"/>
      <c r="I97" s="100"/>
      <c r="J97" s="112"/>
      <c r="K97" s="74"/>
      <c r="L97" s="74"/>
      <c r="M97" s="74"/>
      <c r="N97" s="74"/>
      <c r="O97" s="137"/>
      <c r="P97" s="136"/>
      <c r="Q97" s="74"/>
      <c r="R97" s="74"/>
      <c r="S97" s="74"/>
      <c r="T97" s="74"/>
      <c r="U97" s="137"/>
      <c r="V97" s="74"/>
      <c r="W97" s="74"/>
      <c r="X97" s="74"/>
    </row>
    <row r="98" spans="2:24" s="1" customFormat="1" x14ac:dyDescent="0.5">
      <c r="C98" s="2" t="s">
        <v>15</v>
      </c>
      <c r="G98" s="293"/>
      <c r="H98" s="99">
        <f ca="1">+SUM(O98,U98:X98)</f>
        <v>4835.4585471165301</v>
      </c>
      <c r="I98" s="305">
        <f ca="1">H98/$H$61</f>
        <v>2.3415012899595963E-2</v>
      </c>
      <c r="J98" s="112"/>
      <c r="K98" s="74">
        <f ca="1">+K43*Recycling!G40</f>
        <v>0</v>
      </c>
      <c r="L98" s="74">
        <f ca="1">+L43*Recycling!H40</f>
        <v>0</v>
      </c>
      <c r="M98" s="74">
        <f ca="1">+M43*Recycling!I40</f>
        <v>0</v>
      </c>
      <c r="N98" s="74">
        <f ca="1">+N43*Recycling!J40</f>
        <v>0</v>
      </c>
      <c r="O98" s="137">
        <f ca="1">SUM(K98:N98)</f>
        <v>0</v>
      </c>
      <c r="P98" s="136">
        <f ca="1">+P43*Recycling!K40</f>
        <v>0</v>
      </c>
      <c r="Q98" s="74">
        <f ca="1">+Q43*Recycling!L40</f>
        <v>1868.3536705709366</v>
      </c>
      <c r="R98" s="74">
        <f ca="1">+R43*Recycling!M40</f>
        <v>2967.104876545593</v>
      </c>
      <c r="S98" s="74">
        <f ca="1">+S43*Recycling!N40</f>
        <v>0</v>
      </c>
      <c r="T98" s="74">
        <f ca="1">+T43*Recycling!O40</f>
        <v>0</v>
      </c>
      <c r="U98" s="137">
        <f t="shared" ref="U98:U101" ca="1" si="40">SUM(P98:T98)</f>
        <v>4835.4585471165301</v>
      </c>
      <c r="V98" s="74">
        <f ca="1">+V43*Recycling!P40</f>
        <v>0</v>
      </c>
      <c r="W98" s="74">
        <f ca="1">+W43*Recycling!Q40</f>
        <v>0</v>
      </c>
      <c r="X98" s="74">
        <f ca="1">+X43*Recycling!R40</f>
        <v>0</v>
      </c>
    </row>
    <row r="99" spans="2:24" s="1" customFormat="1" x14ac:dyDescent="0.5">
      <c r="C99" s="2" t="s">
        <v>16</v>
      </c>
      <c r="G99" s="293"/>
      <c r="H99" s="99">
        <f ca="1">+SUM(O99,U99:X99)</f>
        <v>0</v>
      </c>
      <c r="I99" s="305">
        <f ca="1">H99/$H$61</f>
        <v>0</v>
      </c>
      <c r="J99" s="112"/>
      <c r="K99" s="74">
        <f ca="1">+K44*Recycling!G41</f>
        <v>0</v>
      </c>
      <c r="L99" s="74">
        <f ca="1">+L44*Recycling!H41</f>
        <v>0</v>
      </c>
      <c r="M99" s="74">
        <f ca="1">+M44*Recycling!I41</f>
        <v>0</v>
      </c>
      <c r="N99" s="74">
        <f ca="1">+N44*Recycling!J41</f>
        <v>0</v>
      </c>
      <c r="O99" s="137">
        <f ca="1">SUM(K99:N99)</f>
        <v>0</v>
      </c>
      <c r="P99" s="136">
        <f ca="1">+P44*Recycling!K41</f>
        <v>0</v>
      </c>
      <c r="Q99" s="74">
        <f ca="1">+Q44*Recycling!L41</f>
        <v>0</v>
      </c>
      <c r="R99" s="74">
        <f ca="1">+R44*Recycling!M41</f>
        <v>0</v>
      </c>
      <c r="S99" s="74">
        <f ca="1">+S44*Recycling!N41</f>
        <v>0</v>
      </c>
      <c r="T99" s="74">
        <f ca="1">+T44*Recycling!O41</f>
        <v>0</v>
      </c>
      <c r="U99" s="137">
        <f t="shared" ca="1" si="40"/>
        <v>0</v>
      </c>
      <c r="V99" s="74">
        <f ca="1">+V44*Recycling!P41</f>
        <v>0</v>
      </c>
      <c r="W99" s="74">
        <f ca="1">+W44*Recycling!Q41</f>
        <v>0</v>
      </c>
      <c r="X99" s="74">
        <f ca="1">+X44*Recycling!R41</f>
        <v>0</v>
      </c>
    </row>
    <row r="100" spans="2:24" s="1" customFormat="1" x14ac:dyDescent="0.5">
      <c r="C100" s="2" t="s">
        <v>17</v>
      </c>
      <c r="G100" s="293"/>
      <c r="H100" s="99">
        <f ca="1">+SUM(O100,U100:X100)</f>
        <v>0</v>
      </c>
      <c r="I100" s="305">
        <f ca="1">H100/$H$61</f>
        <v>0</v>
      </c>
      <c r="J100" s="112"/>
      <c r="K100" s="74">
        <f ca="1">+K45*Recycling!G42</f>
        <v>0</v>
      </c>
      <c r="L100" s="74">
        <f ca="1">+L45*Recycling!H42</f>
        <v>0</v>
      </c>
      <c r="M100" s="74">
        <f ca="1">+M45*Recycling!I42</f>
        <v>0</v>
      </c>
      <c r="N100" s="74">
        <f ca="1">+N45*Recycling!J42</f>
        <v>0</v>
      </c>
      <c r="O100" s="137">
        <f ca="1">SUM(K100:N100)</f>
        <v>0</v>
      </c>
      <c r="P100" s="136">
        <f ca="1">+P45*Recycling!K42</f>
        <v>0</v>
      </c>
      <c r="Q100" s="74">
        <f ca="1">+Q45*Recycling!L42</f>
        <v>0</v>
      </c>
      <c r="R100" s="74">
        <f ca="1">+R45*Recycling!M42</f>
        <v>0</v>
      </c>
      <c r="S100" s="74">
        <f ca="1">+S45*Recycling!N42</f>
        <v>0</v>
      </c>
      <c r="T100" s="74">
        <f ca="1">+T45*Recycling!O42</f>
        <v>0</v>
      </c>
      <c r="U100" s="137">
        <f t="shared" ca="1" si="40"/>
        <v>0</v>
      </c>
      <c r="V100" s="74">
        <f ca="1">+V45*Recycling!P42</f>
        <v>0</v>
      </c>
      <c r="W100" s="74">
        <f ca="1">+W45*Recycling!Q42</f>
        <v>0</v>
      </c>
      <c r="X100" s="74">
        <f ca="1">+X45*Recycling!R42</f>
        <v>0</v>
      </c>
    </row>
    <row r="101" spans="2:24" s="1" customFormat="1" x14ac:dyDescent="0.5">
      <c r="B101" s="98"/>
      <c r="C101" s="47" t="s">
        <v>18</v>
      </c>
      <c r="D101" s="48"/>
      <c r="E101" s="48"/>
      <c r="F101" s="48"/>
      <c r="G101" s="293"/>
      <c r="H101" s="101">
        <f ca="1">+SUM(O101,U101:X101)</f>
        <v>0</v>
      </c>
      <c r="I101" s="307">
        <f ca="1">H101/$H$61</f>
        <v>0</v>
      </c>
      <c r="J101" s="112"/>
      <c r="K101" s="49">
        <f ca="1">+K46*Recycling!G43</f>
        <v>0</v>
      </c>
      <c r="L101" s="49">
        <f ca="1">+L46*Recycling!H43</f>
        <v>0</v>
      </c>
      <c r="M101" s="49">
        <f ca="1">+M46*Recycling!I43</f>
        <v>0</v>
      </c>
      <c r="N101" s="49">
        <f ca="1">+N46*Recycling!J43</f>
        <v>0</v>
      </c>
      <c r="O101" s="144">
        <f ca="1">SUM(K101:N101)</f>
        <v>0</v>
      </c>
      <c r="P101" s="143">
        <f ca="1">+P46*Recycling!K43</f>
        <v>0</v>
      </c>
      <c r="Q101" s="49">
        <f ca="1">+Q46*Recycling!L43</f>
        <v>0</v>
      </c>
      <c r="R101" s="49">
        <f ca="1">+R46*Recycling!M43</f>
        <v>0</v>
      </c>
      <c r="S101" s="49">
        <f ca="1">+S46*Recycling!N43</f>
        <v>0</v>
      </c>
      <c r="T101" s="49">
        <f ca="1">+T46*Recycling!O43</f>
        <v>0</v>
      </c>
      <c r="U101" s="144">
        <f t="shared" ca="1" si="40"/>
        <v>0</v>
      </c>
      <c r="V101" s="49">
        <f ca="1">+V46*Recycling!P43</f>
        <v>0</v>
      </c>
      <c r="W101" s="49">
        <f ca="1">+W46*Recycling!Q43</f>
        <v>0</v>
      </c>
      <c r="X101" s="49">
        <f ca="1">+X46*Recycling!R43</f>
        <v>0</v>
      </c>
    </row>
    <row r="102" spans="2:24" s="43" customFormat="1" x14ac:dyDescent="0.5">
      <c r="B102" s="3" t="s">
        <v>37</v>
      </c>
      <c r="C102" s="44"/>
      <c r="G102" s="294"/>
      <c r="H102" s="102">
        <f ca="1">+SUM(H96,H98:H101)</f>
        <v>9569.2077847224173</v>
      </c>
      <c r="I102" s="308">
        <f ca="1">H102/$H$61</f>
        <v>4.6337513088971126E-2</v>
      </c>
      <c r="J102" s="113"/>
      <c r="K102" s="152">
        <f ca="1">+SUM(K96,K98:K101)</f>
        <v>677.68835157818091</v>
      </c>
      <c r="L102" s="152">
        <f ca="1">+SUM(L96,L98:L101)</f>
        <v>0</v>
      </c>
      <c r="M102" s="152">
        <f ca="1">+SUM(M96,M98:M101)</f>
        <v>2015.6369651387624</v>
      </c>
      <c r="N102" s="152">
        <f ca="1">+SUM(N96,N98:N101)</f>
        <v>2040.4239208889435</v>
      </c>
      <c r="O102" s="137">
        <f ca="1">+SUM(O96,O98:O101)</f>
        <v>4733.7492376058872</v>
      </c>
      <c r="P102" s="152">
        <f t="shared" ref="P102:R102" ca="1" si="41">+SUM(P96,P98:P101)</f>
        <v>0</v>
      </c>
      <c r="Q102" s="152">
        <f t="shared" ca="1" si="41"/>
        <v>1868.3536705709366</v>
      </c>
      <c r="R102" s="152">
        <f t="shared" ca="1" si="41"/>
        <v>2967.104876545593</v>
      </c>
      <c r="S102" s="152">
        <f ca="1">+SUM(S96,S98:S101)</f>
        <v>0</v>
      </c>
      <c r="T102" s="152">
        <f t="shared" ref="T102" ca="1" si="42">+SUM(T96,T98:T101)</f>
        <v>0</v>
      </c>
      <c r="U102" s="137">
        <f ca="1">+SUM(U96,U98:U101)</f>
        <v>4835.4585471165301</v>
      </c>
      <c r="V102" s="152">
        <f t="shared" ref="V102:X102" ca="1" si="43">+SUM(V96,V98:V101)</f>
        <v>0</v>
      </c>
      <c r="W102" s="152">
        <f t="shared" ca="1" si="43"/>
        <v>0</v>
      </c>
      <c r="X102" s="152">
        <f t="shared" ca="1" si="43"/>
        <v>0</v>
      </c>
    </row>
    <row r="103" spans="2:24" s="1" customFormat="1" ht="7.1" customHeight="1" x14ac:dyDescent="0.5">
      <c r="B103" s="3"/>
      <c r="G103" s="295"/>
      <c r="H103" s="100"/>
      <c r="I103" s="100"/>
      <c r="J103" s="112"/>
      <c r="K103" s="74"/>
      <c r="L103" s="74"/>
      <c r="M103" s="74"/>
      <c r="N103" s="74"/>
      <c r="O103" s="137"/>
      <c r="P103" s="136"/>
      <c r="Q103" s="74"/>
      <c r="R103" s="74"/>
      <c r="S103" s="74"/>
      <c r="T103" s="74"/>
      <c r="U103" s="137"/>
      <c r="V103" s="74"/>
      <c r="W103" s="74"/>
      <c r="X103" s="74"/>
    </row>
    <row r="104" spans="2:24" s="1" customFormat="1" x14ac:dyDescent="0.5">
      <c r="B104" s="10" t="s">
        <v>19</v>
      </c>
      <c r="C104" s="9"/>
      <c r="D104" s="9"/>
      <c r="E104" s="11"/>
      <c r="F104" s="11"/>
      <c r="G104" s="294"/>
      <c r="H104" s="105"/>
      <c r="I104" s="105"/>
      <c r="J104" s="112"/>
      <c r="K104" s="140"/>
      <c r="L104" s="140"/>
      <c r="M104" s="140"/>
      <c r="N104" s="140"/>
      <c r="O104" s="141"/>
      <c r="P104" s="139"/>
      <c r="Q104" s="140"/>
      <c r="R104" s="140"/>
      <c r="S104" s="140"/>
      <c r="T104" s="140"/>
      <c r="U104" s="141"/>
      <c r="V104" s="140"/>
      <c r="W104" s="140"/>
      <c r="X104" s="140"/>
    </row>
    <row r="105" spans="2:24" s="1" customFormat="1" x14ac:dyDescent="0.5">
      <c r="B105" s="2" t="s">
        <v>19</v>
      </c>
      <c r="E105" s="2"/>
      <c r="F105" s="2"/>
      <c r="G105" s="293"/>
      <c r="H105" s="99">
        <f ca="1">+SUM(O105,U105:X105)</f>
        <v>0</v>
      </c>
      <c r="I105" s="305">
        <f ca="1">H105/$H$61</f>
        <v>0</v>
      </c>
      <c r="J105" s="112"/>
      <c r="K105" s="74">
        <f ca="1">+K50*Recycling!G46</f>
        <v>0</v>
      </c>
      <c r="L105" s="74">
        <f ca="1">+L50*Recycling!H46</f>
        <v>0</v>
      </c>
      <c r="M105" s="74">
        <f ca="1">+M50*Recycling!I46</f>
        <v>0</v>
      </c>
      <c r="N105" s="74">
        <f ca="1">+N50*Recycling!J46</f>
        <v>0</v>
      </c>
      <c r="O105" s="137">
        <f ca="1">SUM(K105:N105)</f>
        <v>0</v>
      </c>
      <c r="P105" s="136">
        <f ca="1">+P50*Recycling!K46</f>
        <v>0</v>
      </c>
      <c r="Q105" s="74">
        <f ca="1">+Q50*Recycling!L46</f>
        <v>0</v>
      </c>
      <c r="R105" s="74">
        <f ca="1">+R50*Recycling!M46</f>
        <v>0</v>
      </c>
      <c r="S105" s="74">
        <f ca="1">+S50*Recycling!N46</f>
        <v>0</v>
      </c>
      <c r="T105" s="74">
        <f ca="1">+T50*Recycling!O46</f>
        <v>0</v>
      </c>
      <c r="U105" s="137">
        <f ca="1">SUM(P105:T105)</f>
        <v>0</v>
      </c>
      <c r="V105" s="74">
        <f ca="1">+V50*Recycling!P46</f>
        <v>0</v>
      </c>
      <c r="W105" s="74">
        <f ca="1">+W50*Recycling!Q46</f>
        <v>0</v>
      </c>
      <c r="X105" s="74">
        <f ca="1">+X50*Recycling!R46</f>
        <v>0</v>
      </c>
    </row>
    <row r="106" spans="2:24" s="1" customFormat="1" ht="7.1" customHeight="1" x14ac:dyDescent="0.5">
      <c r="B106" s="2"/>
      <c r="E106" s="2"/>
      <c r="F106" s="2"/>
      <c r="G106" s="295"/>
      <c r="H106" s="100"/>
      <c r="I106" s="100"/>
      <c r="J106" s="112"/>
      <c r="K106" s="74"/>
      <c r="L106" s="74"/>
      <c r="M106" s="74"/>
      <c r="N106" s="74"/>
      <c r="O106" s="137"/>
      <c r="P106" s="136"/>
      <c r="Q106" s="74"/>
      <c r="R106" s="74"/>
      <c r="S106" s="74"/>
      <c r="T106" s="74"/>
      <c r="U106" s="137"/>
      <c r="V106" s="74"/>
      <c r="W106" s="74"/>
      <c r="X106" s="74"/>
    </row>
    <row r="107" spans="2:24" s="1" customFormat="1" x14ac:dyDescent="0.5">
      <c r="B107" s="10" t="s">
        <v>25</v>
      </c>
      <c r="C107" s="9"/>
      <c r="D107" s="9"/>
      <c r="E107" s="9"/>
      <c r="F107" s="9"/>
      <c r="G107" s="294"/>
      <c r="H107" s="105"/>
      <c r="I107" s="105"/>
      <c r="J107" s="112"/>
      <c r="K107" s="140"/>
      <c r="L107" s="140"/>
      <c r="M107" s="140"/>
      <c r="N107" s="140"/>
      <c r="O107" s="141"/>
      <c r="P107" s="139"/>
      <c r="Q107" s="140"/>
      <c r="R107" s="140"/>
      <c r="S107" s="140"/>
      <c r="T107" s="140"/>
      <c r="U107" s="141"/>
      <c r="V107" s="140"/>
      <c r="W107" s="140"/>
      <c r="X107" s="140"/>
    </row>
    <row r="108" spans="2:24" s="1" customFormat="1" x14ac:dyDescent="0.5">
      <c r="B108" s="2" t="s">
        <v>25</v>
      </c>
      <c r="G108" s="293"/>
      <c r="H108" s="99">
        <f ca="1">+SUM(O108,U108:X108)</f>
        <v>1638.8245688928603</v>
      </c>
      <c r="I108" s="305">
        <f ca="1">H108/$H$61</f>
        <v>7.9357723878500982E-3</v>
      </c>
      <c r="J108" s="112"/>
      <c r="K108" s="74">
        <f ca="1">+K53*Recycling!G49</f>
        <v>1402.1410491629938</v>
      </c>
      <c r="L108" s="74">
        <f ca="1">+L53*Recycling!H49</f>
        <v>0</v>
      </c>
      <c r="M108" s="74">
        <f ca="1">+M53*Recycling!I49</f>
        <v>0</v>
      </c>
      <c r="N108" s="74">
        <f ca="1">+N53*Recycling!J49</f>
        <v>0</v>
      </c>
      <c r="O108" s="137">
        <f ca="1">SUM(K108:N108)</f>
        <v>1402.1410491629938</v>
      </c>
      <c r="P108" s="136">
        <f ca="1">+P53*Recycling!K49</f>
        <v>0</v>
      </c>
      <c r="Q108" s="74">
        <f ca="1">+Q53*Recycling!L49</f>
        <v>0</v>
      </c>
      <c r="R108" s="74">
        <f ca="1">+R53*Recycling!M49</f>
        <v>0</v>
      </c>
      <c r="S108" s="74">
        <f ca="1">+S53*Recycling!N49</f>
        <v>0</v>
      </c>
      <c r="T108" s="74">
        <f ca="1">+T53*Recycling!O49</f>
        <v>0</v>
      </c>
      <c r="U108" s="137">
        <f ca="1">SUM(P108:T108)</f>
        <v>0</v>
      </c>
      <c r="V108" s="74">
        <f ca="1">+V53*Recycling!P49</f>
        <v>0</v>
      </c>
      <c r="W108" s="74">
        <f ca="1">+W53*Recycling!Q49</f>
        <v>236.68351972986653</v>
      </c>
      <c r="X108" s="74">
        <f ca="1">+X53*Recycling!R49</f>
        <v>0</v>
      </c>
    </row>
    <row r="109" spans="2:24" s="1" customFormat="1" ht="7.1" customHeight="1" x14ac:dyDescent="0.5">
      <c r="B109" s="2"/>
      <c r="G109" s="295"/>
      <c r="H109" s="100"/>
      <c r="I109" s="100"/>
      <c r="J109" s="112"/>
      <c r="K109" s="74"/>
      <c r="L109" s="74"/>
      <c r="M109" s="74"/>
      <c r="N109" s="74"/>
      <c r="O109" s="137"/>
      <c r="P109" s="136"/>
      <c r="Q109" s="74"/>
      <c r="R109" s="74"/>
      <c r="S109" s="74"/>
      <c r="T109" s="74"/>
      <c r="U109" s="137"/>
      <c r="V109" s="74"/>
      <c r="W109" s="74"/>
      <c r="X109" s="74"/>
    </row>
    <row r="110" spans="2:24" s="1" customFormat="1" x14ac:dyDescent="0.5">
      <c r="B110" s="10" t="s">
        <v>4</v>
      </c>
      <c r="C110" s="9"/>
      <c r="D110" s="9"/>
      <c r="E110" s="9"/>
      <c r="F110" s="9"/>
      <c r="G110" s="294"/>
      <c r="H110" s="105"/>
      <c r="I110" s="105"/>
      <c r="J110" s="112"/>
      <c r="K110" s="140"/>
      <c r="L110" s="140"/>
      <c r="M110" s="140"/>
      <c r="N110" s="140"/>
      <c r="O110" s="141"/>
      <c r="P110" s="139"/>
      <c r="Q110" s="140"/>
      <c r="R110" s="140"/>
      <c r="S110" s="140"/>
      <c r="T110" s="140"/>
      <c r="U110" s="141"/>
      <c r="V110" s="140"/>
      <c r="W110" s="140"/>
      <c r="X110" s="140"/>
    </row>
    <row r="111" spans="2:24" s="1" customFormat="1" x14ac:dyDescent="0.5">
      <c r="B111" s="2" t="s">
        <v>20</v>
      </c>
      <c r="E111" s="2"/>
      <c r="F111" s="2"/>
      <c r="G111" s="293"/>
      <c r="H111" s="99">
        <f ca="1">+SUM(O111,U111:X111)</f>
        <v>550.2517830179321</v>
      </c>
      <c r="I111" s="305">
        <f ca="1">H111/$H$61</f>
        <v>2.6645151585620785E-3</v>
      </c>
      <c r="J111" s="112"/>
      <c r="K111" s="74">
        <f ca="1">+K56*Recycling!G52</f>
        <v>406.5837291726076</v>
      </c>
      <c r="L111" s="74">
        <f ca="1">+L56*Recycling!H52</f>
        <v>119.7915239523405</v>
      </c>
      <c r="M111" s="74">
        <f ca="1">+M56*Recycling!I52</f>
        <v>0</v>
      </c>
      <c r="N111" s="74">
        <f ca="1">+N56*Recycling!J52</f>
        <v>23.876529892983946</v>
      </c>
      <c r="O111" s="137">
        <f ca="1">SUM(K111:N111)</f>
        <v>550.2517830179321</v>
      </c>
      <c r="P111" s="136">
        <f ca="1">+P56*Recycling!K52</f>
        <v>0</v>
      </c>
      <c r="Q111" s="74">
        <f ca="1">+Q56*Recycling!L52</f>
        <v>0</v>
      </c>
      <c r="R111" s="74">
        <f ca="1">+R56*Recycling!M52</f>
        <v>0</v>
      </c>
      <c r="S111" s="74">
        <f ca="1">+S56*Recycling!N52</f>
        <v>0</v>
      </c>
      <c r="T111" s="74">
        <f ca="1">+T56*Recycling!O52</f>
        <v>0</v>
      </c>
      <c r="U111" s="137">
        <f t="shared" ref="U111:U113" ca="1" si="44">SUM(P111:T111)</f>
        <v>0</v>
      </c>
      <c r="V111" s="74">
        <f ca="1">+V56*Recycling!P52</f>
        <v>0</v>
      </c>
      <c r="W111" s="74">
        <f ca="1">+W56*Recycling!Q52</f>
        <v>0</v>
      </c>
      <c r="X111" s="74">
        <f ca="1">+X56*Recycling!R52</f>
        <v>0</v>
      </c>
    </row>
    <row r="112" spans="2:24" s="1" customFormat="1" x14ac:dyDescent="0.5">
      <c r="B112" s="2" t="s">
        <v>11</v>
      </c>
      <c r="E112" s="2"/>
      <c r="F112" s="2"/>
      <c r="G112" s="293"/>
      <c r="H112" s="99">
        <f ca="1">+SUM(O112,U112:X112)</f>
        <v>2303.5630824416126</v>
      </c>
      <c r="I112" s="305">
        <f ca="1">H112/$H$61</f>
        <v>1.1154673081122278E-2</v>
      </c>
      <c r="J112" s="112"/>
      <c r="K112" s="74">
        <f ca="1">+K57*Recycling!G53</f>
        <v>50.421884226666172</v>
      </c>
      <c r="L112" s="74">
        <f ca="1">+L57*Recycling!H53</f>
        <v>0</v>
      </c>
      <c r="M112" s="74">
        <f ca="1">+M57*Recycling!I53</f>
        <v>0</v>
      </c>
      <c r="N112" s="74">
        <f ca="1">+N57*Recycling!J53</f>
        <v>0</v>
      </c>
      <c r="O112" s="137">
        <f ca="1">SUM(K112:N112)</f>
        <v>50.421884226666172</v>
      </c>
      <c r="P112" s="136">
        <f ca="1">+P57*Recycling!K53</f>
        <v>0</v>
      </c>
      <c r="Q112" s="74">
        <f ca="1">+Q57*Recycling!L53</f>
        <v>1248.6130779985585</v>
      </c>
      <c r="R112" s="74">
        <f ca="1">+R57*Recycling!M53</f>
        <v>1004.5281202163879</v>
      </c>
      <c r="S112" s="74">
        <f ca="1">+S57*Recycling!N53</f>
        <v>0</v>
      </c>
      <c r="T112" s="74">
        <f ca="1">+T57*Recycling!O53</f>
        <v>0</v>
      </c>
      <c r="U112" s="137">
        <f t="shared" ca="1" si="44"/>
        <v>2253.1411982149466</v>
      </c>
      <c r="V112" s="74">
        <f ca="1">+V57*Recycling!P53</f>
        <v>0</v>
      </c>
      <c r="W112" s="74">
        <f ca="1">+W57*Recycling!Q53</f>
        <v>0</v>
      </c>
      <c r="X112" s="74">
        <f ca="1">+X57*Recycling!R53</f>
        <v>0</v>
      </c>
    </row>
    <row r="113" spans="2:25" s="1" customFormat="1" x14ac:dyDescent="0.5">
      <c r="B113" s="47" t="s">
        <v>55</v>
      </c>
      <c r="C113" s="48"/>
      <c r="D113" s="48"/>
      <c r="E113" s="47"/>
      <c r="F113" s="47"/>
      <c r="G113" s="293"/>
      <c r="H113" s="101">
        <f ca="1">+SUM(O113,U113:X113)</f>
        <v>763.85709529736414</v>
      </c>
      <c r="I113" s="307">
        <f ca="1">H113/$H$61</f>
        <v>3.698868176731917E-3</v>
      </c>
      <c r="J113" s="112"/>
      <c r="K113" s="49">
        <f ca="1">+K58*Recycling!G54</f>
        <v>0</v>
      </c>
      <c r="L113" s="49">
        <f ca="1">+L58*Recycling!H54</f>
        <v>763.85709529736414</v>
      </c>
      <c r="M113" s="49">
        <f ca="1">+M58*Recycling!I54</f>
        <v>0</v>
      </c>
      <c r="N113" s="49">
        <f ca="1">+N58*Recycling!J54</f>
        <v>0</v>
      </c>
      <c r="O113" s="144">
        <f ca="1">SUM(K113:N113)</f>
        <v>763.85709529736414</v>
      </c>
      <c r="P113" s="143">
        <f ca="1">+P58*Recycling!K54</f>
        <v>0</v>
      </c>
      <c r="Q113" s="49">
        <f ca="1">+Q58*Recycling!L54</f>
        <v>0</v>
      </c>
      <c r="R113" s="49">
        <f ca="1">+R58*Recycling!M54</f>
        <v>0</v>
      </c>
      <c r="S113" s="49">
        <f ca="1">+S58*Recycling!N54</f>
        <v>0</v>
      </c>
      <c r="T113" s="49">
        <f ca="1">+T58*Recycling!O54</f>
        <v>0</v>
      </c>
      <c r="U113" s="144">
        <f t="shared" ca="1" si="44"/>
        <v>0</v>
      </c>
      <c r="V113" s="49">
        <f ca="1">+V58*Recycling!P54</f>
        <v>0</v>
      </c>
      <c r="W113" s="49">
        <f ca="1">+W58*Recycling!Q54</f>
        <v>0</v>
      </c>
      <c r="X113" s="49">
        <f ca="1">+X58*Recycling!R54</f>
        <v>0</v>
      </c>
    </row>
    <row r="114" spans="2:25" s="43" customFormat="1" x14ac:dyDescent="0.5">
      <c r="B114" s="44" t="s">
        <v>38</v>
      </c>
      <c r="E114" s="44"/>
      <c r="F114" s="44"/>
      <c r="G114" s="299"/>
      <c r="H114" s="104">
        <f ca="1">SUM(H111:H113)</f>
        <v>3617.6719607569089</v>
      </c>
      <c r="I114" s="308">
        <f ca="1">H114/$H$61</f>
        <v>1.7518056416416274E-2</v>
      </c>
      <c r="J114" s="113"/>
      <c r="K114" s="152">
        <f t="shared" ref="K114:R114" ca="1" si="45">SUM(K111:K113)</f>
        <v>457.00561339927378</v>
      </c>
      <c r="L114" s="152">
        <f t="shared" ca="1" si="45"/>
        <v>883.64861924970467</v>
      </c>
      <c r="M114" s="152">
        <f ca="1">SUM(M111:M113)</f>
        <v>0</v>
      </c>
      <c r="N114" s="152">
        <f ca="1">SUM(N111:N113)</f>
        <v>23.876529892983946</v>
      </c>
      <c r="O114" s="137">
        <f t="shared" ca="1" si="45"/>
        <v>1364.5307625419623</v>
      </c>
      <c r="P114" s="151">
        <f t="shared" ca="1" si="45"/>
        <v>0</v>
      </c>
      <c r="Q114" s="152">
        <f t="shared" ca="1" si="45"/>
        <v>1248.6130779985585</v>
      </c>
      <c r="R114" s="152">
        <f t="shared" ca="1" si="45"/>
        <v>1004.5281202163879</v>
      </c>
      <c r="S114" s="152">
        <f ca="1">SUM(S111:S113)</f>
        <v>0</v>
      </c>
      <c r="T114" s="152">
        <f t="shared" ref="T114:X114" ca="1" si="46">SUM(T111:T113)</f>
        <v>0</v>
      </c>
      <c r="U114" s="137">
        <f t="shared" ca="1" si="46"/>
        <v>2253.1411982149466</v>
      </c>
      <c r="V114" s="152">
        <f t="shared" ca="1" si="46"/>
        <v>0</v>
      </c>
      <c r="W114" s="152">
        <f t="shared" ca="1" si="46"/>
        <v>0</v>
      </c>
      <c r="X114" s="152">
        <f t="shared" ca="1" si="46"/>
        <v>0</v>
      </c>
    </row>
    <row r="115" spans="2:25" s="43" customFormat="1" ht="7.1" customHeight="1" thickBot="1" x14ac:dyDescent="0.55000000000000004">
      <c r="B115" s="44"/>
      <c r="E115" s="44"/>
      <c r="F115" s="44"/>
      <c r="G115" s="299"/>
      <c r="H115" s="104"/>
      <c r="I115" s="104"/>
      <c r="J115" s="113"/>
      <c r="K115" s="74"/>
      <c r="L115" s="74"/>
      <c r="M115" s="74"/>
      <c r="N115" s="74"/>
      <c r="O115" s="137"/>
      <c r="P115" s="136"/>
      <c r="Q115" s="74"/>
      <c r="R115" s="74"/>
      <c r="S115" s="74"/>
      <c r="T115" s="74"/>
      <c r="U115" s="137"/>
      <c r="V115" s="74"/>
      <c r="W115" s="74"/>
      <c r="X115" s="74"/>
    </row>
    <row r="116" spans="2:25" s="43" customFormat="1" ht="14.7" thickBot="1" x14ac:dyDescent="0.55000000000000004">
      <c r="B116" s="146" t="s">
        <v>39</v>
      </c>
      <c r="C116" s="147"/>
      <c r="D116" s="147"/>
      <c r="E116" s="148"/>
      <c r="F116" s="148"/>
      <c r="G116" s="299"/>
      <c r="H116" s="182">
        <f ca="1">SUM(H74,H82,H87,H92,H102,H105,H108,H114)</f>
        <v>107522.68401890072</v>
      </c>
      <c r="I116" s="306">
        <f ca="1">H116/$H$61</f>
        <v>0.52066314058323537</v>
      </c>
      <c r="J116" s="114"/>
      <c r="K116" s="154">
        <f t="shared" ref="K116:R116" ca="1" si="47">SUM(K74,K82,K87,K92,K102,K105,K108,K114)</f>
        <v>16974.413440882323</v>
      </c>
      <c r="L116" s="154">
        <f t="shared" ca="1" si="47"/>
        <v>37507.530924420847</v>
      </c>
      <c r="M116" s="154">
        <f ca="1">SUM(M74,M82,M87,M92,M102,M105,M108,M114)</f>
        <v>4806.9759454117229</v>
      </c>
      <c r="N116" s="154">
        <f ca="1">SUM(N74,N82,N87,N92,N102,N105,N108,N114)</f>
        <v>2385.1130936818472</v>
      </c>
      <c r="O116" s="149">
        <f t="shared" ca="1" si="47"/>
        <v>61674.033404396745</v>
      </c>
      <c r="P116" s="153">
        <f t="shared" ca="1" si="47"/>
        <v>19676.537579520576</v>
      </c>
      <c r="Q116" s="154">
        <f t="shared" ca="1" si="47"/>
        <v>18179.314979457115</v>
      </c>
      <c r="R116" s="154">
        <f t="shared" ca="1" si="47"/>
        <v>7683.8818415194037</v>
      </c>
      <c r="S116" s="154">
        <f ca="1">SUM(S74,S82,S87,S92,S102,S105,S108,S114)</f>
        <v>0</v>
      </c>
      <c r="T116" s="154">
        <f t="shared" ref="T116:X116" ca="1" si="48">SUM(T74,T82,T87,T92,T102,T105,T108,T114)</f>
        <v>0</v>
      </c>
      <c r="U116" s="149">
        <f t="shared" ca="1" si="48"/>
        <v>45539.734400497095</v>
      </c>
      <c r="V116" s="154">
        <f t="shared" ca="1" si="48"/>
        <v>0</v>
      </c>
      <c r="W116" s="154">
        <f t="shared" ca="1" si="48"/>
        <v>308.9162140068857</v>
      </c>
      <c r="X116" s="155">
        <f t="shared" ca="1" si="48"/>
        <v>0</v>
      </c>
    </row>
    <row r="117" spans="2:25" s="1" customFormat="1" x14ac:dyDescent="0.5">
      <c r="J117" s="64"/>
      <c r="U117" s="225"/>
    </row>
    <row r="118" spans="2:25" s="1" customFormat="1" x14ac:dyDescent="0.5">
      <c r="J118" s="64"/>
    </row>
    <row r="119" spans="2:25" ht="16" thickBot="1" x14ac:dyDescent="0.6">
      <c r="B119" s="46" t="str">
        <f>+"TOTAL UNITS AND MASS COMPOSTABLE -- "&amp;CHOOSE(Composting!$L$4,Composting!B57,Composting!B101,Composting!B145)&amp;""</f>
        <v>TOTAL UNITS AND MASS COMPOSTABLE -- Technically Compostable in NYC</v>
      </c>
      <c r="C119" s="46"/>
      <c r="D119" s="46"/>
      <c r="E119" s="46"/>
      <c r="F119" s="46"/>
      <c r="G119" s="46"/>
      <c r="H119" s="46"/>
      <c r="I119" s="46"/>
      <c r="K119" s="178" t="str">
        <f>"TOTAL MASS COMPOSTABLE BY MATERIAL ("&amp;$F$4&amp;")"</f>
        <v>TOTAL MASS COMPOSTABLE BY MATERIAL (Short Tons)</v>
      </c>
      <c r="L119" s="178"/>
      <c r="M119" s="178"/>
      <c r="N119" s="178"/>
      <c r="O119" s="178"/>
      <c r="P119" s="178"/>
      <c r="Q119" s="178"/>
      <c r="R119" s="178"/>
      <c r="S119" s="178"/>
      <c r="T119" s="178"/>
      <c r="U119" s="178"/>
      <c r="V119" s="178"/>
      <c r="W119" s="178"/>
      <c r="X119" s="178"/>
      <c r="Y119" s="96"/>
    </row>
    <row r="120" spans="2:25" s="56" customFormat="1" ht="16" thickBot="1" x14ac:dyDescent="0.6">
      <c r="B120" s="217"/>
      <c r="C120" s="217"/>
      <c r="D120" s="217"/>
      <c r="E120" s="217"/>
      <c r="F120" s="217"/>
      <c r="G120" s="217"/>
      <c r="H120" s="217"/>
      <c r="I120" s="217"/>
      <c r="J120" s="216"/>
      <c r="K120" s="212" t="s">
        <v>73</v>
      </c>
      <c r="L120" s="212"/>
      <c r="M120" s="212"/>
      <c r="N120" s="212"/>
      <c r="O120" s="218"/>
      <c r="P120" s="213" t="s">
        <v>72</v>
      </c>
      <c r="Q120" s="214"/>
      <c r="R120" s="214"/>
      <c r="S120" s="214"/>
      <c r="T120" s="214"/>
      <c r="U120" s="219"/>
      <c r="V120" s="375" t="s">
        <v>4</v>
      </c>
      <c r="W120" s="376"/>
      <c r="X120" s="376"/>
      <c r="Y120"/>
    </row>
    <row r="121" spans="2:25" s="36" customFormat="1" ht="15.7" x14ac:dyDescent="0.55000000000000004">
      <c r="B121" s="111"/>
      <c r="C121" s="111"/>
      <c r="D121" s="111"/>
      <c r="E121" s="111"/>
      <c r="F121" s="111"/>
      <c r="G121" s="215" t="s">
        <v>32</v>
      </c>
      <c r="H121" s="215" t="s">
        <v>33</v>
      </c>
      <c r="I121" s="215"/>
      <c r="J121" s="111"/>
      <c r="K121" s="59" t="str">
        <f t="shared" ref="K121:X121" si="49">+K11</f>
        <v>Lined</v>
      </c>
      <c r="L121" s="59" t="str">
        <f t="shared" si="49"/>
        <v>Unlined</v>
      </c>
      <c r="M121" s="59" t="s">
        <v>61</v>
      </c>
      <c r="N121" s="59" t="s">
        <v>182</v>
      </c>
      <c r="O121" s="203" t="str">
        <f t="shared" si="49"/>
        <v>TOTAL</v>
      </c>
      <c r="P121" s="202" t="str">
        <f t="shared" si="49"/>
        <v/>
      </c>
      <c r="Q121" s="59" t="str">
        <f t="shared" si="49"/>
        <v/>
      </c>
      <c r="R121" s="59" t="str">
        <f t="shared" si="49"/>
        <v/>
      </c>
      <c r="S121" s="59" t="str">
        <f t="shared" si="49"/>
        <v>EPS</v>
      </c>
      <c r="T121" s="59" t="str">
        <f t="shared" si="49"/>
        <v>LDPE/HDPE</v>
      </c>
      <c r="U121" s="203" t="str">
        <f t="shared" si="49"/>
        <v>TOTAL</v>
      </c>
      <c r="V121" s="59" t="str">
        <f t="shared" si="49"/>
        <v/>
      </c>
      <c r="W121" s="59" t="str">
        <f t="shared" si="49"/>
        <v/>
      </c>
      <c r="X121" s="59" t="str">
        <f t="shared" si="49"/>
        <v/>
      </c>
    </row>
    <row r="122" spans="2:25" s="36" customFormat="1" ht="16" thickBot="1" x14ac:dyDescent="0.6">
      <c r="B122" s="39"/>
      <c r="C122" s="39"/>
      <c r="D122" s="39"/>
      <c r="E122" s="39"/>
      <c r="F122" s="39"/>
      <c r="G122" s="40" t="s">
        <v>44</v>
      </c>
      <c r="H122" s="40" t="s">
        <v>56</v>
      </c>
      <c r="I122" s="215"/>
      <c r="J122" s="111"/>
      <c r="K122" s="29" t="str">
        <f t="shared" ref="K122:X122" si="50">+K12</f>
        <v>Paper</v>
      </c>
      <c r="L122" s="29" t="str">
        <f t="shared" si="50"/>
        <v>Paper</v>
      </c>
      <c r="M122" s="29" t="s">
        <v>62</v>
      </c>
      <c r="N122" s="29" t="s">
        <v>62</v>
      </c>
      <c r="O122" s="70" t="str">
        <f t="shared" si="50"/>
        <v>PAPER</v>
      </c>
      <c r="P122" s="58" t="str">
        <f t="shared" si="50"/>
        <v>PET</v>
      </c>
      <c r="Q122" s="29" t="str">
        <f t="shared" si="50"/>
        <v>PP</v>
      </c>
      <c r="R122" s="29" t="str">
        <f t="shared" si="50"/>
        <v>PS</v>
      </c>
      <c r="S122" s="29" t="str">
        <f t="shared" si="50"/>
        <v>Foam</v>
      </c>
      <c r="T122" s="29" t="str">
        <f t="shared" si="50"/>
        <v>Film</v>
      </c>
      <c r="U122" s="70" t="str">
        <f t="shared" si="50"/>
        <v>PLASTIC</v>
      </c>
      <c r="V122" s="29" t="str">
        <f t="shared" si="50"/>
        <v>PLA</v>
      </c>
      <c r="W122" s="29" t="str">
        <f t="shared" si="50"/>
        <v>Aluminum</v>
      </c>
      <c r="X122" s="29" t="str">
        <f t="shared" si="50"/>
        <v>Wood</v>
      </c>
    </row>
    <row r="123" spans="2:25" s="1" customFormat="1" ht="15.7" x14ac:dyDescent="0.55000000000000004">
      <c r="B123" s="7" t="s">
        <v>21</v>
      </c>
      <c r="C123" s="8"/>
      <c r="D123" s="8"/>
      <c r="E123" s="9"/>
      <c r="F123" s="9"/>
      <c r="G123" s="54"/>
      <c r="H123" s="54"/>
      <c r="I123" s="54"/>
      <c r="J123" s="64"/>
      <c r="K123" s="179"/>
      <c r="L123" s="179"/>
      <c r="M123" s="179"/>
      <c r="N123" s="179"/>
      <c r="O123" s="180"/>
      <c r="P123" s="181"/>
      <c r="Q123" s="179"/>
      <c r="R123" s="179"/>
      <c r="S123" s="179"/>
      <c r="T123" s="179"/>
      <c r="U123" s="180"/>
      <c r="V123" s="179"/>
      <c r="W123" s="179"/>
      <c r="X123" s="179"/>
    </row>
    <row r="124" spans="2:25" s="1" customFormat="1" x14ac:dyDescent="0.5">
      <c r="B124" s="94" t="s">
        <v>59</v>
      </c>
      <c r="C124" s="56"/>
      <c r="D124" s="56"/>
      <c r="E124" s="55"/>
      <c r="F124" s="55"/>
      <c r="G124" s="97"/>
      <c r="H124" s="95"/>
      <c r="I124" s="95"/>
      <c r="J124" s="64"/>
      <c r="K124" s="74"/>
      <c r="L124" s="74"/>
      <c r="M124" s="74"/>
      <c r="N124" s="74"/>
      <c r="O124" s="137"/>
      <c r="P124" s="136"/>
      <c r="Q124" s="74"/>
      <c r="R124" s="74"/>
      <c r="S124" s="74"/>
      <c r="T124" s="74"/>
      <c r="U124" s="137"/>
      <c r="V124" s="74"/>
      <c r="W124" s="74"/>
      <c r="X124" s="74"/>
    </row>
    <row r="125" spans="2:25" s="1" customFormat="1" x14ac:dyDescent="0.5">
      <c r="B125" s="2"/>
      <c r="C125" s="1" t="s">
        <v>52</v>
      </c>
      <c r="G125" s="293"/>
      <c r="H125" s="99">
        <f ca="1">+SUM(O125,U125:X125)</f>
        <v>9190.8460391950939</v>
      </c>
      <c r="I125" s="305">
        <f ca="1">H125/$H$61</f>
        <v>4.4505350727137023E-2</v>
      </c>
      <c r="J125" s="112"/>
      <c r="K125" s="74">
        <f ca="1">+K15*Composting!G16</f>
        <v>1942.4952734218489</v>
      </c>
      <c r="L125" s="74">
        <f ca="1">+L15*Composting!H16</f>
        <v>7248.3507657732443</v>
      </c>
      <c r="M125" s="74">
        <f ca="1">+M15*Composting!I16</f>
        <v>0</v>
      </c>
      <c r="N125" s="74">
        <f ca="1">+N15*Composting!J16</f>
        <v>0</v>
      </c>
      <c r="O125" s="137">
        <f ca="1">SUM(K125:N125)</f>
        <v>9190.8460391950939</v>
      </c>
      <c r="P125" s="136">
        <f ca="1">+P15*Composting!K16</f>
        <v>0</v>
      </c>
      <c r="Q125" s="74">
        <f ca="1">+Q15*Composting!L16</f>
        <v>0</v>
      </c>
      <c r="R125" s="74">
        <f ca="1">+R15*Composting!M16</f>
        <v>0</v>
      </c>
      <c r="S125" s="74">
        <f ca="1">+S15*Composting!N16</f>
        <v>0</v>
      </c>
      <c r="T125" s="74">
        <f ca="1">+T15*Composting!O16</f>
        <v>0</v>
      </c>
      <c r="U125" s="137">
        <f ca="1">SUM(P125:T125)</f>
        <v>0</v>
      </c>
      <c r="V125" s="74">
        <f ca="1">+V15*Composting!P16</f>
        <v>0</v>
      </c>
      <c r="W125" s="74">
        <f ca="1">+W15*Composting!Q16</f>
        <v>0</v>
      </c>
      <c r="X125" s="74">
        <f ca="1">+X15*Composting!R16</f>
        <v>0</v>
      </c>
    </row>
    <row r="126" spans="2:25" s="1" customFormat="1" x14ac:dyDescent="0.5">
      <c r="B126" s="2"/>
      <c r="C126" s="1" t="s">
        <v>4</v>
      </c>
      <c r="G126" s="293"/>
      <c r="H126" s="99">
        <f ca="1">+SUM(O126,U126:X126)</f>
        <v>1824.9065488430435</v>
      </c>
      <c r="I126" s="305">
        <f ca="1">H126/$H$61</f>
        <v>8.836847625795034E-3</v>
      </c>
      <c r="J126" s="112"/>
      <c r="K126" s="74">
        <f ca="1">+K16*Composting!G17</f>
        <v>1824.9065488430435</v>
      </c>
      <c r="L126" s="74">
        <f ca="1">+L16*Composting!H17</f>
        <v>0</v>
      </c>
      <c r="M126" s="74">
        <f ca="1">+M16*Composting!I17</f>
        <v>0</v>
      </c>
      <c r="N126" s="74">
        <f ca="1">+N16*Composting!J17</f>
        <v>0</v>
      </c>
      <c r="O126" s="137">
        <f ca="1">SUM(K126:N126)</f>
        <v>1824.9065488430435</v>
      </c>
      <c r="P126" s="136">
        <f ca="1">+P16*Composting!K17</f>
        <v>0</v>
      </c>
      <c r="Q126" s="74">
        <f ca="1">+Q16*Composting!L17</f>
        <v>0</v>
      </c>
      <c r="R126" s="74">
        <f ca="1">+R16*Composting!M17</f>
        <v>0</v>
      </c>
      <c r="S126" s="74">
        <f ca="1">+S16*Composting!N17</f>
        <v>0</v>
      </c>
      <c r="T126" s="74">
        <f ca="1">+T16*Composting!O17</f>
        <v>0</v>
      </c>
      <c r="U126" s="137">
        <f t="shared" ref="U126:U128" ca="1" si="51">SUM(P126:T126)</f>
        <v>0</v>
      </c>
      <c r="V126" s="74">
        <f ca="1">+V16*Composting!P17</f>
        <v>0</v>
      </c>
      <c r="W126" s="74">
        <f ca="1">+W16*Composting!Q17</f>
        <v>0</v>
      </c>
      <c r="X126" s="74">
        <f ca="1">+X16*Composting!R17</f>
        <v>0</v>
      </c>
    </row>
    <row r="127" spans="2:25" s="1" customFormat="1" x14ac:dyDescent="0.5">
      <c r="B127" s="2" t="s">
        <v>5</v>
      </c>
      <c r="E127" s="2"/>
      <c r="F127" s="2"/>
      <c r="G127" s="293"/>
      <c r="H127" s="99">
        <f ca="1">+SUM(O127,U127:X127)</f>
        <v>1022.1409401457195</v>
      </c>
      <c r="I127" s="305">
        <f ca="1">H127/$H$61</f>
        <v>4.9495705661646303E-3</v>
      </c>
      <c r="J127" s="112"/>
      <c r="K127" s="74">
        <f ca="1">+K17*Composting!G18</f>
        <v>108.15605563132671</v>
      </c>
      <c r="L127" s="74">
        <f ca="1">+L17*Composting!H18</f>
        <v>216.31211126265342</v>
      </c>
      <c r="M127" s="74">
        <f ca="1">+M17*Composting!I18</f>
        <v>216.08461980728521</v>
      </c>
      <c r="N127" s="74">
        <f ca="1">+N17*Composting!J18</f>
        <v>238.01596687200515</v>
      </c>
      <c r="O127" s="137">
        <f ca="1">SUM(K127:N127)</f>
        <v>778.56875357327056</v>
      </c>
      <c r="P127" s="136">
        <f ca="1">+P17*Composting!K18</f>
        <v>0</v>
      </c>
      <c r="Q127" s="74">
        <f ca="1">+Q17*Composting!L18</f>
        <v>0</v>
      </c>
      <c r="R127" s="74">
        <f ca="1">+R17*Composting!M18</f>
        <v>0</v>
      </c>
      <c r="S127" s="74">
        <f ca="1">+S17*Composting!N18</f>
        <v>0</v>
      </c>
      <c r="T127" s="74">
        <f ca="1">+T17*Composting!O18</f>
        <v>0</v>
      </c>
      <c r="U127" s="137">
        <f t="shared" ca="1" si="51"/>
        <v>0</v>
      </c>
      <c r="V127" s="74">
        <f ca="1">+V17*Composting!P18</f>
        <v>243.57218657244891</v>
      </c>
      <c r="W127" s="74">
        <f ca="1">+W17*Composting!Q18</f>
        <v>0</v>
      </c>
      <c r="X127" s="74">
        <f ca="1">+X17*Composting!R18</f>
        <v>0</v>
      </c>
    </row>
    <row r="128" spans="2:25" s="1" customFormat="1" x14ac:dyDescent="0.5">
      <c r="B128" s="47" t="s">
        <v>6</v>
      </c>
      <c r="C128" s="48"/>
      <c r="D128" s="48"/>
      <c r="E128" s="48"/>
      <c r="F128" s="48"/>
      <c r="G128" s="293"/>
      <c r="H128" s="101">
        <f ca="1">+SUM(O128,U128:X128)</f>
        <v>2804.6412498633176</v>
      </c>
      <c r="I128" s="307">
        <f ca="1">H128/$H$61</f>
        <v>1.3581072075046354E-2</v>
      </c>
      <c r="J128" s="112"/>
      <c r="K128" s="49">
        <f ca="1">+K18*Composting!G19</f>
        <v>198.28347078761956</v>
      </c>
      <c r="L128" s="49">
        <f ca="1">+L18*Composting!H19</f>
        <v>0</v>
      </c>
      <c r="M128" s="49">
        <f ca="1">+M18*Composting!I19</f>
        <v>2523.5611030477835</v>
      </c>
      <c r="N128" s="49">
        <f ca="1">+N18*Composting!J19</f>
        <v>82.796676027914756</v>
      </c>
      <c r="O128" s="144">
        <f ca="1">SUM(K128:N128)</f>
        <v>2804.6412498633176</v>
      </c>
      <c r="P128" s="143">
        <f ca="1">+P18*Composting!K19</f>
        <v>0</v>
      </c>
      <c r="Q128" s="49">
        <f ca="1">+Q18*Composting!L19</f>
        <v>0</v>
      </c>
      <c r="R128" s="49">
        <f ca="1">+R18*Composting!M19</f>
        <v>0</v>
      </c>
      <c r="S128" s="49">
        <f ca="1">+S18*Composting!N19</f>
        <v>0</v>
      </c>
      <c r="T128" s="49">
        <f ca="1">+T18*Composting!O19</f>
        <v>0</v>
      </c>
      <c r="U128" s="144">
        <f t="shared" ca="1" si="51"/>
        <v>0</v>
      </c>
      <c r="V128" s="49">
        <f ca="1">+V18*Composting!P19</f>
        <v>0</v>
      </c>
      <c r="W128" s="49">
        <f ca="1">+W18*Composting!Q19</f>
        <v>0</v>
      </c>
      <c r="X128" s="49">
        <f ca="1">+X18*Composting!R19</f>
        <v>0</v>
      </c>
    </row>
    <row r="129" spans="2:24" s="43" customFormat="1" x14ac:dyDescent="0.5">
      <c r="B129" s="44" t="s">
        <v>34</v>
      </c>
      <c r="G129" s="294"/>
      <c r="H129" s="103">
        <f ca="1">SUM(H125:H128)</f>
        <v>14842.534778047175</v>
      </c>
      <c r="I129" s="308">
        <f ca="1">H129/$H$61</f>
        <v>7.1872840994143039E-2</v>
      </c>
      <c r="J129" s="113"/>
      <c r="K129" s="152">
        <f t="shared" ref="K129:R129" ca="1" si="52">SUM(K125:K128)</f>
        <v>4073.8413486838385</v>
      </c>
      <c r="L129" s="152">
        <f t="shared" ca="1" si="52"/>
        <v>7464.6628770358975</v>
      </c>
      <c r="M129" s="152">
        <f ca="1">SUM(M125:M128)</f>
        <v>2739.6457228550689</v>
      </c>
      <c r="N129" s="152">
        <f ca="1">SUM(N125:N128)</f>
        <v>320.81264289991992</v>
      </c>
      <c r="O129" s="137">
        <f t="shared" ca="1" si="52"/>
        <v>14598.962591474727</v>
      </c>
      <c r="P129" s="151">
        <f t="shared" ca="1" si="52"/>
        <v>0</v>
      </c>
      <c r="Q129" s="152">
        <f t="shared" ca="1" si="52"/>
        <v>0</v>
      </c>
      <c r="R129" s="152">
        <f t="shared" ca="1" si="52"/>
        <v>0</v>
      </c>
      <c r="S129" s="152">
        <f ca="1">SUM(S125:S128)</f>
        <v>0</v>
      </c>
      <c r="T129" s="152">
        <f t="shared" ref="T129:X129" ca="1" si="53">SUM(T125:T128)</f>
        <v>0</v>
      </c>
      <c r="U129" s="137">
        <f t="shared" ca="1" si="53"/>
        <v>0</v>
      </c>
      <c r="V129" s="152">
        <f t="shared" ca="1" si="53"/>
        <v>243.57218657244891</v>
      </c>
      <c r="W129" s="152">
        <f t="shared" ca="1" si="53"/>
        <v>0</v>
      </c>
      <c r="X129" s="152">
        <f t="shared" ca="1" si="53"/>
        <v>0</v>
      </c>
    </row>
    <row r="130" spans="2:24" s="1" customFormat="1" ht="7.1" customHeight="1" x14ac:dyDescent="0.5">
      <c r="B130" s="3"/>
      <c r="G130" s="295"/>
      <c r="H130" s="100"/>
      <c r="I130" s="100"/>
      <c r="J130" s="112"/>
      <c r="K130" s="74"/>
      <c r="L130" s="74"/>
      <c r="M130" s="74"/>
      <c r="N130" s="74"/>
      <c r="O130" s="137"/>
      <c r="P130" s="136"/>
      <c r="Q130" s="74"/>
      <c r="R130" s="74"/>
      <c r="S130" s="74"/>
      <c r="T130" s="74"/>
      <c r="U130" s="137"/>
      <c r="V130" s="74"/>
      <c r="W130" s="74"/>
      <c r="X130" s="74"/>
    </row>
    <row r="131" spans="2:24" s="1" customFormat="1" x14ac:dyDescent="0.5">
      <c r="B131" s="10" t="s">
        <v>22</v>
      </c>
      <c r="C131" s="9"/>
      <c r="D131" s="9"/>
      <c r="E131" s="9"/>
      <c r="F131" s="9"/>
      <c r="G131" s="294"/>
      <c r="H131" s="106"/>
      <c r="I131" s="106"/>
      <c r="J131" s="112"/>
      <c r="K131" s="140"/>
      <c r="L131" s="140"/>
      <c r="M131" s="140"/>
      <c r="N131" s="140"/>
      <c r="O131" s="141"/>
      <c r="P131" s="139"/>
      <c r="Q131" s="140"/>
      <c r="R131" s="140"/>
      <c r="S131" s="140"/>
      <c r="T131" s="140"/>
      <c r="U131" s="141"/>
      <c r="V131" s="140"/>
      <c r="W131" s="140"/>
      <c r="X131" s="140"/>
    </row>
    <row r="132" spans="2:24" s="1" customFormat="1" x14ac:dyDescent="0.5">
      <c r="B132" s="2" t="s">
        <v>53</v>
      </c>
      <c r="G132" s="296"/>
      <c r="H132" s="100"/>
      <c r="I132" s="100"/>
      <c r="J132" s="112"/>
      <c r="K132" s="74"/>
      <c r="L132" s="74"/>
      <c r="M132" s="74"/>
      <c r="N132" s="74"/>
      <c r="O132" s="137"/>
      <c r="P132" s="136"/>
      <c r="Q132" s="74"/>
      <c r="R132" s="74"/>
      <c r="S132" s="74"/>
      <c r="T132" s="74"/>
      <c r="U132" s="137"/>
      <c r="V132" s="74"/>
      <c r="W132" s="74"/>
      <c r="X132" s="74"/>
    </row>
    <row r="133" spans="2:24" s="1" customFormat="1" x14ac:dyDescent="0.5">
      <c r="B133" s="2"/>
      <c r="C133" s="2" t="s">
        <v>47</v>
      </c>
      <c r="G133" s="293"/>
      <c r="H133" s="99">
        <f ca="1">+SUM(O133,U133:X133)</f>
        <v>146.3198587098332</v>
      </c>
      <c r="I133" s="305">
        <f t="shared" ref="I133:I137" ca="1" si="54">H133/$H$61</f>
        <v>7.0853288178860231E-4</v>
      </c>
      <c r="J133" s="112"/>
      <c r="K133" s="74">
        <f ca="1">+K23*Composting!G23</f>
        <v>0</v>
      </c>
      <c r="L133" s="74">
        <f ca="1">+L23*Composting!H23</f>
        <v>0</v>
      </c>
      <c r="M133" s="74">
        <f ca="1">+M23*Composting!I23</f>
        <v>0</v>
      </c>
      <c r="N133" s="74">
        <f ca="1">+N23*Composting!J23</f>
        <v>0</v>
      </c>
      <c r="O133" s="137">
        <f ca="1">SUM(K133:N133)</f>
        <v>0</v>
      </c>
      <c r="P133" s="136">
        <f ca="1">+P23*Composting!K23</f>
        <v>0</v>
      </c>
      <c r="Q133" s="74">
        <f ca="1">+Q23*Composting!L23</f>
        <v>0</v>
      </c>
      <c r="R133" s="74">
        <f ca="1">+R23*Composting!M23</f>
        <v>0</v>
      </c>
      <c r="S133" s="74">
        <f ca="1">+S23*Composting!N23</f>
        <v>0</v>
      </c>
      <c r="T133" s="74">
        <f ca="1">+T23*Composting!O23</f>
        <v>0</v>
      </c>
      <c r="U133" s="137">
        <f t="shared" ref="U133:U136" ca="1" si="55">SUM(P133:T133)</f>
        <v>0</v>
      </c>
      <c r="V133" s="74">
        <f ca="1">+V23*Composting!P23</f>
        <v>146.3198587098332</v>
      </c>
      <c r="W133" s="74">
        <f ca="1">+W23*Composting!Q23</f>
        <v>0</v>
      </c>
      <c r="X133" s="74">
        <f ca="1">+X23*Composting!R23</f>
        <v>0</v>
      </c>
    </row>
    <row r="134" spans="2:24" s="1" customFormat="1" x14ac:dyDescent="0.5">
      <c r="B134" s="3"/>
      <c r="C134" s="2" t="s">
        <v>48</v>
      </c>
      <c r="E134" s="2"/>
      <c r="F134" s="2"/>
      <c r="G134" s="293"/>
      <c r="H134" s="99">
        <f ca="1">+SUM(O134,U134:X134)</f>
        <v>508.75585519220891</v>
      </c>
      <c r="I134" s="305">
        <f t="shared" ca="1" si="54"/>
        <v>2.463577093257101E-3</v>
      </c>
      <c r="J134" s="112"/>
      <c r="K134" s="74">
        <f ca="1">+K24*Composting!G24</f>
        <v>0</v>
      </c>
      <c r="L134" s="74">
        <f ca="1">+L24*Composting!H24</f>
        <v>0</v>
      </c>
      <c r="M134" s="74">
        <f ca="1">+M24*Composting!I24</f>
        <v>0</v>
      </c>
      <c r="N134" s="74">
        <f ca="1">+N24*Composting!J24</f>
        <v>0</v>
      </c>
      <c r="O134" s="137">
        <f ca="1">SUM(K134:N134)</f>
        <v>0</v>
      </c>
      <c r="P134" s="136">
        <f ca="1">+P24*Composting!K24</f>
        <v>0</v>
      </c>
      <c r="Q134" s="74">
        <f ca="1">+Q24*Composting!L24</f>
        <v>0</v>
      </c>
      <c r="R134" s="74">
        <f ca="1">+R24*Composting!M24</f>
        <v>0</v>
      </c>
      <c r="S134" s="74">
        <f ca="1">+S24*Composting!N24</f>
        <v>0</v>
      </c>
      <c r="T134" s="74">
        <f ca="1">+T24*Composting!O24</f>
        <v>0</v>
      </c>
      <c r="U134" s="137">
        <f t="shared" ca="1" si="55"/>
        <v>0</v>
      </c>
      <c r="V134" s="74">
        <f ca="1">+V24*Composting!P24</f>
        <v>508.75585519220891</v>
      </c>
      <c r="W134" s="74">
        <f ca="1">+W24*Composting!Q24</f>
        <v>0</v>
      </c>
      <c r="X134" s="74">
        <f ca="1">+X24*Composting!R24</f>
        <v>0</v>
      </c>
    </row>
    <row r="135" spans="2:24" s="1" customFormat="1" x14ac:dyDescent="0.5">
      <c r="B135" s="2" t="s">
        <v>46</v>
      </c>
      <c r="C135" s="2"/>
      <c r="E135" s="2"/>
      <c r="F135" s="2"/>
      <c r="G135" s="293"/>
      <c r="H135" s="99">
        <f ca="1">+SUM(O135,U135:X135)</f>
        <v>123.42483134730141</v>
      </c>
      <c r="I135" s="305">
        <f t="shared" ca="1" si="54"/>
        <v>5.9766700302929358E-4</v>
      </c>
      <c r="J135" s="112"/>
      <c r="K135" s="74">
        <f ca="1">+K25*Composting!G25</f>
        <v>0</v>
      </c>
      <c r="L135" s="74">
        <f ca="1">+L25*Composting!H25</f>
        <v>0</v>
      </c>
      <c r="M135" s="74">
        <f ca="1">+M25*Composting!I25</f>
        <v>0</v>
      </c>
      <c r="N135" s="74">
        <f ca="1">+N25*Composting!J25</f>
        <v>0</v>
      </c>
      <c r="O135" s="137">
        <f ca="1">SUM(K135:N135)</f>
        <v>0</v>
      </c>
      <c r="P135" s="136">
        <f ca="1">+P25*Composting!K25</f>
        <v>0</v>
      </c>
      <c r="Q135" s="74">
        <f ca="1">+Q25*Composting!L25</f>
        <v>0</v>
      </c>
      <c r="R135" s="74">
        <f ca="1">+R25*Composting!M25</f>
        <v>0</v>
      </c>
      <c r="S135" s="74">
        <f ca="1">+S25*Composting!N25</f>
        <v>0</v>
      </c>
      <c r="T135" s="74">
        <f ca="1">+T25*Composting!O25</f>
        <v>0</v>
      </c>
      <c r="U135" s="137">
        <f t="shared" ca="1" si="55"/>
        <v>0</v>
      </c>
      <c r="V135" s="74">
        <f ca="1">+V25*Composting!P25</f>
        <v>123.42483134730141</v>
      </c>
      <c r="W135" s="74">
        <f ca="1">+W25*Composting!Q25</f>
        <v>0</v>
      </c>
      <c r="X135" s="74">
        <f ca="1">+X25*Composting!R25</f>
        <v>0</v>
      </c>
    </row>
    <row r="136" spans="2:24" s="1" customFormat="1" x14ac:dyDescent="0.5">
      <c r="B136" s="47" t="s">
        <v>8</v>
      </c>
      <c r="C136" s="48"/>
      <c r="D136" s="48"/>
      <c r="E136" s="47"/>
      <c r="F136" s="47"/>
      <c r="G136" s="293"/>
      <c r="H136" s="101">
        <f ca="1">+SUM(O136,U136:X136)</f>
        <v>72.927130099178697</v>
      </c>
      <c r="I136" s="307">
        <f t="shared" ca="1" si="54"/>
        <v>3.5313914396413308E-4</v>
      </c>
      <c r="J136" s="112"/>
      <c r="K136" s="49">
        <f ca="1">+K26*Composting!G26</f>
        <v>0</v>
      </c>
      <c r="L136" s="49">
        <f ca="1">+L26*Composting!H26</f>
        <v>0</v>
      </c>
      <c r="M136" s="49">
        <f ca="1">+M26*Composting!I26</f>
        <v>51.693257417891182</v>
      </c>
      <c r="N136" s="49">
        <f ca="1">+N26*Composting!J26</f>
        <v>0</v>
      </c>
      <c r="O136" s="144">
        <f ca="1">SUM(K136:N136)</f>
        <v>51.693257417891182</v>
      </c>
      <c r="P136" s="143">
        <f ca="1">+P26*Composting!K26</f>
        <v>0</v>
      </c>
      <c r="Q136" s="49">
        <f ca="1">+Q26*Composting!L26</f>
        <v>0</v>
      </c>
      <c r="R136" s="49">
        <f ca="1">+R26*Composting!M26</f>
        <v>0</v>
      </c>
      <c r="S136" s="49">
        <f ca="1">+S26*Composting!N26</f>
        <v>0</v>
      </c>
      <c r="T136" s="49">
        <f ca="1">+T26*Composting!O26</f>
        <v>0</v>
      </c>
      <c r="U136" s="144">
        <f t="shared" ca="1" si="55"/>
        <v>0</v>
      </c>
      <c r="V136" s="49">
        <f ca="1">+V26*Composting!P26</f>
        <v>21.233872681287512</v>
      </c>
      <c r="W136" s="49">
        <f ca="1">+W26*Composting!Q26</f>
        <v>0</v>
      </c>
      <c r="X136" s="49">
        <f ca="1">+X26*Composting!R26</f>
        <v>0</v>
      </c>
    </row>
    <row r="137" spans="2:24" s="43" customFormat="1" x14ac:dyDescent="0.5">
      <c r="B137" s="44" t="s">
        <v>35</v>
      </c>
      <c r="E137" s="44"/>
      <c r="F137" s="44"/>
      <c r="G137" s="294"/>
      <c r="H137" s="103">
        <f ca="1">SUM(H133:H136)</f>
        <v>851.42767534852226</v>
      </c>
      <c r="I137" s="308">
        <f t="shared" ca="1" si="54"/>
        <v>4.1229161220391304E-3</v>
      </c>
      <c r="J137" s="113"/>
      <c r="K137" s="152">
        <f ca="1">SUM(K133:K136)</f>
        <v>0</v>
      </c>
      <c r="L137" s="152">
        <f t="shared" ref="L137:R137" ca="1" si="56">SUM(L133:L136)</f>
        <v>0</v>
      </c>
      <c r="M137" s="152">
        <f ca="1">SUM(M133:M136)</f>
        <v>51.693257417891182</v>
      </c>
      <c r="N137" s="152">
        <f ca="1">SUM(N133:N136)</f>
        <v>0</v>
      </c>
      <c r="O137" s="137">
        <f t="shared" ca="1" si="56"/>
        <v>51.693257417891182</v>
      </c>
      <c r="P137" s="151">
        <f t="shared" ca="1" si="56"/>
        <v>0</v>
      </c>
      <c r="Q137" s="152">
        <f t="shared" ca="1" si="56"/>
        <v>0</v>
      </c>
      <c r="R137" s="152">
        <f t="shared" ca="1" si="56"/>
        <v>0</v>
      </c>
      <c r="S137" s="152">
        <f ca="1">SUM(S133:S136)</f>
        <v>0</v>
      </c>
      <c r="T137" s="152">
        <f t="shared" ref="T137:X137" ca="1" si="57">SUM(T133:T136)</f>
        <v>0</v>
      </c>
      <c r="U137" s="137">
        <f t="shared" ca="1" si="57"/>
        <v>0</v>
      </c>
      <c r="V137" s="152">
        <f t="shared" ca="1" si="57"/>
        <v>799.73441793063103</v>
      </c>
      <c r="W137" s="152">
        <f t="shared" ca="1" si="57"/>
        <v>0</v>
      </c>
      <c r="X137" s="152">
        <f t="shared" ca="1" si="57"/>
        <v>0</v>
      </c>
    </row>
    <row r="138" spans="2:24" s="1" customFormat="1" ht="7.1" customHeight="1" x14ac:dyDescent="0.5">
      <c r="B138" s="3"/>
      <c r="E138" s="2"/>
      <c r="F138" s="2"/>
      <c r="G138" s="295"/>
      <c r="H138" s="100"/>
      <c r="I138" s="100"/>
      <c r="J138" s="112"/>
      <c r="K138" s="74"/>
      <c r="L138" s="74"/>
      <c r="M138" s="74"/>
      <c r="N138" s="74"/>
      <c r="O138" s="137"/>
      <c r="P138" s="136"/>
      <c r="Q138" s="74"/>
      <c r="R138" s="74"/>
      <c r="S138" s="74"/>
      <c r="T138" s="74"/>
      <c r="U138" s="137"/>
      <c r="V138" s="74"/>
      <c r="W138" s="74"/>
      <c r="X138" s="74"/>
    </row>
    <row r="139" spans="2:24" s="1" customFormat="1" x14ac:dyDescent="0.5">
      <c r="B139" s="7" t="s">
        <v>23</v>
      </c>
      <c r="C139" s="9"/>
      <c r="D139" s="9"/>
      <c r="E139" s="9"/>
      <c r="F139" s="9"/>
      <c r="G139" s="294"/>
      <c r="H139" s="107"/>
      <c r="I139" s="107"/>
      <c r="J139" s="112"/>
      <c r="K139" s="140"/>
      <c r="L139" s="140"/>
      <c r="M139" s="140"/>
      <c r="N139" s="140"/>
      <c r="O139" s="141"/>
      <c r="P139" s="139"/>
      <c r="Q139" s="140"/>
      <c r="R139" s="140"/>
      <c r="S139" s="140"/>
      <c r="T139" s="140"/>
      <c r="U139" s="141"/>
      <c r="V139" s="140"/>
      <c r="W139" s="140"/>
      <c r="X139" s="140"/>
    </row>
    <row r="140" spans="2:24" s="1" customFormat="1" x14ac:dyDescent="0.5">
      <c r="B140" s="2" t="s">
        <v>45</v>
      </c>
      <c r="C140" s="2"/>
      <c r="F140" s="2"/>
      <c r="G140" s="293"/>
      <c r="H140" s="99">
        <f ca="1">+SUM(O140,U140:X140)</f>
        <v>29159.219428135246</v>
      </c>
      <c r="I140" s="305">
        <f t="shared" ref="I140:I142" ca="1" si="58">H140/$H$61</f>
        <v>0.14119932833651941</v>
      </c>
      <c r="J140" s="112"/>
      <c r="K140" s="74">
        <f ca="1">+K30*Composting!G29</f>
        <v>0</v>
      </c>
      <c r="L140" s="74">
        <f ca="1">+L30*Composting!H29</f>
        <v>29159.219428135246</v>
      </c>
      <c r="M140" s="74">
        <f ca="1">+M30*Composting!I29</f>
        <v>0</v>
      </c>
      <c r="N140" s="74">
        <f ca="1">+N30*Composting!J29</f>
        <v>0</v>
      </c>
      <c r="O140" s="137">
        <f ca="1">SUM(K140:N140)</f>
        <v>29159.219428135246</v>
      </c>
      <c r="P140" s="136">
        <f ca="1">+P30*Composting!K29</f>
        <v>0</v>
      </c>
      <c r="Q140" s="74">
        <f ca="1">+Q30*Composting!L29</f>
        <v>0</v>
      </c>
      <c r="R140" s="74">
        <f ca="1">+R30*Composting!M29</f>
        <v>0</v>
      </c>
      <c r="S140" s="74">
        <f ca="1">+S30*Composting!N29</f>
        <v>0</v>
      </c>
      <c r="T140" s="74">
        <f ca="1">+T30*Composting!O29</f>
        <v>0</v>
      </c>
      <c r="U140" s="137">
        <f t="shared" ref="U140:U141" ca="1" si="59">SUM(P140:T140)</f>
        <v>0</v>
      </c>
      <c r="V140" s="74">
        <f ca="1">+V30*Composting!P29</f>
        <v>0</v>
      </c>
      <c r="W140" s="74">
        <f ca="1">+W30*Composting!Q29</f>
        <v>0</v>
      </c>
      <c r="X140" s="74">
        <f ca="1">+X30*Composting!R29</f>
        <v>0</v>
      </c>
    </row>
    <row r="141" spans="2:24" s="1" customFormat="1" x14ac:dyDescent="0.5">
      <c r="B141" s="47" t="s">
        <v>9</v>
      </c>
      <c r="C141" s="48"/>
      <c r="D141" s="48"/>
      <c r="E141" s="47"/>
      <c r="F141" s="47"/>
      <c r="G141" s="293"/>
      <c r="H141" s="101">
        <f ca="1">+SUM(O141,U141:X141)</f>
        <v>140.048225635199</v>
      </c>
      <c r="I141" s="307">
        <f t="shared" ca="1" si="58"/>
        <v>6.7816340019483242E-4</v>
      </c>
      <c r="J141" s="112"/>
      <c r="K141" s="49">
        <f ca="1">+K31*Composting!G30</f>
        <v>140.048225635199</v>
      </c>
      <c r="L141" s="49">
        <f ca="1">+L31*Composting!H30</f>
        <v>0</v>
      </c>
      <c r="M141" s="49">
        <f ca="1">+M31*Composting!I30</f>
        <v>0</v>
      </c>
      <c r="N141" s="49">
        <f ca="1">+N31*Composting!J30</f>
        <v>0</v>
      </c>
      <c r="O141" s="144">
        <f ca="1">SUM(K141:N141)</f>
        <v>140.048225635199</v>
      </c>
      <c r="P141" s="143">
        <f ca="1">+P31*Composting!K30</f>
        <v>0</v>
      </c>
      <c r="Q141" s="49">
        <f ca="1">+Q31*Composting!L30</f>
        <v>0</v>
      </c>
      <c r="R141" s="49">
        <f ca="1">+R31*Composting!M30</f>
        <v>0</v>
      </c>
      <c r="S141" s="49">
        <f ca="1">+S31*Composting!N30</f>
        <v>0</v>
      </c>
      <c r="T141" s="49">
        <f ca="1">+T31*Composting!O30</f>
        <v>0</v>
      </c>
      <c r="U141" s="144">
        <f t="shared" ca="1" si="59"/>
        <v>0</v>
      </c>
      <c r="V141" s="49">
        <f ca="1">+V31*Composting!P30</f>
        <v>0</v>
      </c>
      <c r="W141" s="49">
        <f ca="1">+W31*Composting!Q30</f>
        <v>0</v>
      </c>
      <c r="X141" s="49">
        <f ca="1">+X31*Composting!R30</f>
        <v>0</v>
      </c>
    </row>
    <row r="142" spans="2:24" s="43" customFormat="1" x14ac:dyDescent="0.5">
      <c r="B142" s="44" t="s">
        <v>36</v>
      </c>
      <c r="E142" s="44"/>
      <c r="F142" s="44"/>
      <c r="G142" s="297"/>
      <c r="H142" s="103">
        <f ca="1">SUM(H140:H141)</f>
        <v>29299.267653770446</v>
      </c>
      <c r="I142" s="308">
        <f t="shared" ca="1" si="58"/>
        <v>0.14187749173671424</v>
      </c>
      <c r="J142" s="113"/>
      <c r="K142" s="152">
        <f t="shared" ref="K142:R142" ca="1" si="60">SUM(K140:K141)</f>
        <v>140.048225635199</v>
      </c>
      <c r="L142" s="152">
        <f t="shared" ca="1" si="60"/>
        <v>29159.219428135246</v>
      </c>
      <c r="M142" s="152">
        <f ca="1">SUM(M140:M141)</f>
        <v>0</v>
      </c>
      <c r="N142" s="152">
        <f ca="1">SUM(N140:N141)</f>
        <v>0</v>
      </c>
      <c r="O142" s="137">
        <f t="shared" ca="1" si="60"/>
        <v>29299.267653770446</v>
      </c>
      <c r="P142" s="151">
        <f t="shared" ca="1" si="60"/>
        <v>0</v>
      </c>
      <c r="Q142" s="152">
        <f t="shared" ca="1" si="60"/>
        <v>0</v>
      </c>
      <c r="R142" s="152">
        <f t="shared" ca="1" si="60"/>
        <v>0</v>
      </c>
      <c r="S142" s="152">
        <f ca="1">SUM(S140:S141)</f>
        <v>0</v>
      </c>
      <c r="T142" s="152">
        <f t="shared" ref="T142:X142" ca="1" si="61">SUM(T140:T141)</f>
        <v>0</v>
      </c>
      <c r="U142" s="137">
        <f t="shared" ca="1" si="61"/>
        <v>0</v>
      </c>
      <c r="V142" s="152">
        <f t="shared" ca="1" si="61"/>
        <v>0</v>
      </c>
      <c r="W142" s="152">
        <f t="shared" ca="1" si="61"/>
        <v>0</v>
      </c>
      <c r="X142" s="152">
        <f t="shared" ca="1" si="61"/>
        <v>0</v>
      </c>
    </row>
    <row r="143" spans="2:24" s="1" customFormat="1" ht="7.1" customHeight="1" x14ac:dyDescent="0.5">
      <c r="B143" s="3"/>
      <c r="G143" s="295"/>
      <c r="H143" s="100"/>
      <c r="I143" s="100"/>
      <c r="J143" s="112"/>
      <c r="K143" s="74"/>
      <c r="L143" s="74"/>
      <c r="M143" s="74"/>
      <c r="N143" s="74"/>
      <c r="O143" s="137"/>
      <c r="P143" s="136"/>
      <c r="Q143" s="74"/>
      <c r="R143" s="74"/>
      <c r="S143" s="74"/>
      <c r="T143" s="74"/>
      <c r="U143" s="137"/>
      <c r="V143" s="74"/>
      <c r="W143" s="74"/>
      <c r="X143" s="74"/>
    </row>
    <row r="144" spans="2:24" s="1" customFormat="1" x14ac:dyDescent="0.5">
      <c r="B144" s="7" t="s">
        <v>10</v>
      </c>
      <c r="C144" s="9"/>
      <c r="D144" s="9"/>
      <c r="E144" s="9"/>
      <c r="F144" s="9"/>
      <c r="G144" s="294"/>
      <c r="H144" s="105"/>
      <c r="I144" s="105"/>
      <c r="J144" s="112"/>
      <c r="K144" s="140"/>
      <c r="L144" s="140"/>
      <c r="M144" s="140"/>
      <c r="N144" s="140"/>
      <c r="O144" s="141"/>
      <c r="P144" s="139"/>
      <c r="Q144" s="140"/>
      <c r="R144" s="140"/>
      <c r="S144" s="140"/>
      <c r="T144" s="140"/>
      <c r="U144" s="141"/>
      <c r="V144" s="140"/>
      <c r="W144" s="140"/>
      <c r="X144" s="140"/>
    </row>
    <row r="145" spans="2:24" s="1" customFormat="1" x14ac:dyDescent="0.5">
      <c r="B145" s="2" t="s">
        <v>49</v>
      </c>
      <c r="G145" s="293"/>
      <c r="H145" s="99">
        <f ca="1">+SUM(O145,U145:X145)</f>
        <v>3481.5646769792997</v>
      </c>
      <c r="I145" s="305">
        <f t="shared" ref="I145:I147" ca="1" si="62">H145/$H$61</f>
        <v>1.6858976460642043E-2</v>
      </c>
      <c r="J145" s="112"/>
      <c r="K145" s="74">
        <f ca="1">+K35*Composting!G33</f>
        <v>3481.5646769792997</v>
      </c>
      <c r="L145" s="74">
        <f ca="1">+L35*Composting!H33</f>
        <v>0</v>
      </c>
      <c r="M145" s="74">
        <f ca="1">+M35*Composting!I33</f>
        <v>0</v>
      </c>
      <c r="N145" s="74">
        <f ca="1">+N35*Composting!J33</f>
        <v>0</v>
      </c>
      <c r="O145" s="137">
        <f ca="1">SUM(K145:N145)</f>
        <v>3481.5646769792997</v>
      </c>
      <c r="P145" s="136">
        <f ca="1">+P35*Composting!K33</f>
        <v>0</v>
      </c>
      <c r="Q145" s="74">
        <f ca="1">+Q35*Composting!L33</f>
        <v>0</v>
      </c>
      <c r="R145" s="74">
        <f ca="1">+R35*Composting!M33</f>
        <v>0</v>
      </c>
      <c r="S145" s="74">
        <f ca="1">+S35*Composting!N33</f>
        <v>0</v>
      </c>
      <c r="T145" s="74">
        <f ca="1">+T35*Composting!O33</f>
        <v>0</v>
      </c>
      <c r="U145" s="137">
        <f t="shared" ref="U145:U146" ca="1" si="63">SUM(P145:T145)</f>
        <v>0</v>
      </c>
      <c r="V145" s="74">
        <f ca="1">+V35*Composting!P33</f>
        <v>0</v>
      </c>
      <c r="W145" s="74">
        <f ca="1">+W35*Composting!Q33</f>
        <v>0</v>
      </c>
      <c r="X145" s="74">
        <f ca="1">+X35*Composting!R33</f>
        <v>0</v>
      </c>
    </row>
    <row r="146" spans="2:24" s="1" customFormat="1" x14ac:dyDescent="0.5">
      <c r="B146" s="47" t="s">
        <v>7</v>
      </c>
      <c r="C146" s="48"/>
      <c r="D146" s="48"/>
      <c r="E146" s="48"/>
      <c r="F146" s="48"/>
      <c r="G146" s="293"/>
      <c r="H146" s="101">
        <f ca="1">+SUM(O146,U146:X146)</f>
        <v>8020.5259434884038</v>
      </c>
      <c r="I146" s="307">
        <f t="shared" ca="1" si="62"/>
        <v>3.8838243901462864E-2</v>
      </c>
      <c r="J146" s="112"/>
      <c r="K146" s="49">
        <f ca="1">+K36*Composting!G34</f>
        <v>6742.1241754435378</v>
      </c>
      <c r="L146" s="49">
        <f ca="1">+L36*Composting!H34</f>
        <v>0</v>
      </c>
      <c r="M146" s="49">
        <f ca="1">+M36*Composting!I34</f>
        <v>0</v>
      </c>
      <c r="N146" s="49">
        <f ca="1">+N36*Composting!J34</f>
        <v>0</v>
      </c>
      <c r="O146" s="144">
        <f ca="1">SUM(K146:N146)</f>
        <v>6742.1241754435378</v>
      </c>
      <c r="P146" s="143">
        <f ca="1">+P36*Composting!K34</f>
        <v>0</v>
      </c>
      <c r="Q146" s="49">
        <f ca="1">+Q36*Composting!L34</f>
        <v>0</v>
      </c>
      <c r="R146" s="49">
        <f ca="1">+R36*Composting!M34</f>
        <v>0</v>
      </c>
      <c r="S146" s="49">
        <f ca="1">+S36*Composting!N34</f>
        <v>0</v>
      </c>
      <c r="T146" s="49">
        <f ca="1">+T36*Composting!O34</f>
        <v>0</v>
      </c>
      <c r="U146" s="144">
        <f t="shared" ca="1" si="63"/>
        <v>0</v>
      </c>
      <c r="V146" s="49">
        <f ca="1">+V36*Composting!P34</f>
        <v>1278.4017680448662</v>
      </c>
      <c r="W146" s="49">
        <f ca="1">+W36*Composting!Q34</f>
        <v>0</v>
      </c>
      <c r="X146" s="49">
        <f ca="1">+X36*Composting!R34</f>
        <v>0</v>
      </c>
    </row>
    <row r="147" spans="2:24" s="43" customFormat="1" x14ac:dyDescent="0.5">
      <c r="B147" s="44" t="s">
        <v>57</v>
      </c>
      <c r="G147" s="294"/>
      <c r="H147" s="102">
        <f ca="1">SUM(H145:H146)</f>
        <v>11502.090620467703</v>
      </c>
      <c r="I147" s="308">
        <f t="shared" ca="1" si="62"/>
        <v>5.56972203621049E-2</v>
      </c>
      <c r="J147" s="113"/>
      <c r="K147" s="152">
        <f t="shared" ref="K147:R147" ca="1" si="64">SUM(K145:K146)</f>
        <v>10223.688852422838</v>
      </c>
      <c r="L147" s="152">
        <f t="shared" ca="1" si="64"/>
        <v>0</v>
      </c>
      <c r="M147" s="152">
        <f ca="1">SUM(M145:M146)</f>
        <v>0</v>
      </c>
      <c r="N147" s="152">
        <f ca="1">SUM(N145:N146)</f>
        <v>0</v>
      </c>
      <c r="O147" s="137">
        <f t="shared" ca="1" si="64"/>
        <v>10223.688852422838</v>
      </c>
      <c r="P147" s="151">
        <f t="shared" ca="1" si="64"/>
        <v>0</v>
      </c>
      <c r="Q147" s="152">
        <f t="shared" ca="1" si="64"/>
        <v>0</v>
      </c>
      <c r="R147" s="152">
        <f t="shared" ca="1" si="64"/>
        <v>0</v>
      </c>
      <c r="S147" s="152">
        <f ca="1">SUM(S145:S146)</f>
        <v>0</v>
      </c>
      <c r="T147" s="152">
        <f t="shared" ref="T147:X147" ca="1" si="65">SUM(T145:T146)</f>
        <v>0</v>
      </c>
      <c r="U147" s="137">
        <f t="shared" ca="1" si="65"/>
        <v>0</v>
      </c>
      <c r="V147" s="152">
        <f t="shared" ca="1" si="65"/>
        <v>1278.4017680448662</v>
      </c>
      <c r="W147" s="152">
        <f t="shared" ca="1" si="65"/>
        <v>0</v>
      </c>
      <c r="X147" s="152">
        <f t="shared" ca="1" si="65"/>
        <v>0</v>
      </c>
    </row>
    <row r="148" spans="2:24" s="1" customFormat="1" ht="7.1" customHeight="1" x14ac:dyDescent="0.5">
      <c r="B148" s="3"/>
      <c r="G148" s="298"/>
      <c r="H148" s="100"/>
      <c r="I148" s="100"/>
      <c r="J148" s="112"/>
      <c r="K148" s="74"/>
      <c r="L148" s="74"/>
      <c r="M148" s="74"/>
      <c r="N148" s="74"/>
      <c r="O148" s="137"/>
      <c r="P148" s="136"/>
      <c r="Q148" s="74"/>
      <c r="R148" s="74"/>
      <c r="S148" s="74"/>
      <c r="T148" s="74"/>
      <c r="U148" s="137"/>
      <c r="V148" s="74"/>
      <c r="W148" s="74"/>
      <c r="X148" s="74"/>
    </row>
    <row r="149" spans="2:24" s="1" customFormat="1" x14ac:dyDescent="0.5">
      <c r="B149" s="7" t="s">
        <v>24</v>
      </c>
      <c r="C149" s="9"/>
      <c r="D149" s="9"/>
      <c r="E149" s="9"/>
      <c r="F149" s="9"/>
      <c r="G149" s="294"/>
      <c r="H149" s="107"/>
      <c r="I149" s="107"/>
      <c r="J149" s="112"/>
      <c r="K149" s="140"/>
      <c r="L149" s="140"/>
      <c r="M149" s="140"/>
      <c r="N149" s="140"/>
      <c r="O149" s="141"/>
      <c r="P149" s="139"/>
      <c r="Q149" s="140"/>
      <c r="R149" s="140"/>
      <c r="S149" s="140"/>
      <c r="T149" s="140"/>
      <c r="U149" s="141"/>
      <c r="V149" s="140"/>
      <c r="W149" s="140"/>
      <c r="X149" s="140"/>
    </row>
    <row r="150" spans="2:24" s="1" customFormat="1" x14ac:dyDescent="0.5">
      <c r="B150" s="2" t="s">
        <v>12</v>
      </c>
      <c r="G150" s="296"/>
      <c r="H150" s="100"/>
      <c r="I150" s="100"/>
      <c r="J150" s="112"/>
      <c r="K150" s="74"/>
      <c r="L150" s="74"/>
      <c r="M150" s="74"/>
      <c r="N150" s="74"/>
      <c r="O150" s="137"/>
      <c r="P150" s="136"/>
      <c r="Q150" s="74"/>
      <c r="R150" s="74"/>
      <c r="S150" s="74"/>
      <c r="T150" s="74"/>
      <c r="U150" s="137"/>
      <c r="V150" s="74"/>
      <c r="W150" s="74"/>
      <c r="X150" s="74"/>
    </row>
    <row r="151" spans="2:24" s="1" customFormat="1" x14ac:dyDescent="0.5">
      <c r="B151" s="3"/>
      <c r="C151" s="2" t="s">
        <v>13</v>
      </c>
      <c r="D151" s="2"/>
      <c r="F151" s="2"/>
      <c r="G151" s="293"/>
      <c r="H151" s="99">
        <f ca="1">+SUM(O151,U151:X151)</f>
        <v>4733.7492376058872</v>
      </c>
      <c r="I151" s="305">
        <f ca="1">H151/$H$61</f>
        <v>2.292250018937516E-2</v>
      </c>
      <c r="J151" s="112"/>
      <c r="K151" s="74">
        <f ca="1">+K41*Composting!G38</f>
        <v>677.68835157818091</v>
      </c>
      <c r="L151" s="74">
        <f ca="1">+L41*Composting!H38</f>
        <v>0</v>
      </c>
      <c r="M151" s="74">
        <f ca="1">+M41*Composting!I38</f>
        <v>2015.6369651387624</v>
      </c>
      <c r="N151" s="74">
        <f ca="1">+N41*Composting!J38</f>
        <v>2040.4239208889435</v>
      </c>
      <c r="O151" s="137">
        <f ca="1">SUM(K151:N151)</f>
        <v>4733.7492376058872</v>
      </c>
      <c r="P151" s="136">
        <f ca="1">+P41*Composting!K38</f>
        <v>0</v>
      </c>
      <c r="Q151" s="74">
        <f ca="1">+Q41*Composting!L38</f>
        <v>0</v>
      </c>
      <c r="R151" s="74">
        <f ca="1">+R41*Composting!M38</f>
        <v>0</v>
      </c>
      <c r="S151" s="74">
        <f ca="1">+S41*Composting!N38</f>
        <v>0</v>
      </c>
      <c r="T151" s="74">
        <f ca="1">+T41*Composting!O38</f>
        <v>0</v>
      </c>
      <c r="U151" s="137">
        <f ca="1">SUM(P151:T151)</f>
        <v>0</v>
      </c>
      <c r="V151" s="74">
        <f ca="1">+V41*Composting!P38</f>
        <v>0</v>
      </c>
      <c r="W151" s="74">
        <f ca="1">+W41*Composting!Q38</f>
        <v>0</v>
      </c>
      <c r="X151" s="74">
        <f ca="1">+X41*Composting!R38</f>
        <v>0</v>
      </c>
    </row>
    <row r="152" spans="2:24" s="1" customFormat="1" x14ac:dyDescent="0.5">
      <c r="B152" s="1" t="s">
        <v>14</v>
      </c>
      <c r="G152" s="295"/>
      <c r="H152" s="100"/>
      <c r="I152" s="100"/>
      <c r="J152" s="112"/>
      <c r="K152" s="74"/>
      <c r="L152" s="74"/>
      <c r="M152" s="74"/>
      <c r="N152" s="74"/>
      <c r="O152" s="137"/>
      <c r="P152" s="136"/>
      <c r="Q152" s="74"/>
      <c r="R152" s="74"/>
      <c r="S152" s="74"/>
      <c r="T152" s="74"/>
      <c r="U152" s="137"/>
      <c r="V152" s="74"/>
      <c r="W152" s="74"/>
      <c r="X152" s="74"/>
    </row>
    <row r="153" spans="2:24" s="1" customFormat="1" x14ac:dyDescent="0.5">
      <c r="C153" s="2" t="s">
        <v>15</v>
      </c>
      <c r="G153" s="293"/>
      <c r="H153" s="99">
        <f ca="1">+SUM(O153,U153:X153)</f>
        <v>759.27718743948572</v>
      </c>
      <c r="I153" s="305">
        <f ca="1">H153/$H$61</f>
        <v>3.676690631308612E-3</v>
      </c>
      <c r="J153" s="112"/>
      <c r="K153" s="74">
        <f ca="1">+K43*Composting!G40</f>
        <v>0</v>
      </c>
      <c r="L153" s="74">
        <f ca="1">+L43*Composting!H40</f>
        <v>0</v>
      </c>
      <c r="M153" s="74">
        <f ca="1">+M43*Composting!I40</f>
        <v>0</v>
      </c>
      <c r="N153" s="74">
        <f ca="1">+N43*Composting!J40</f>
        <v>0</v>
      </c>
      <c r="O153" s="137">
        <f ca="1">SUM(K153:N153)</f>
        <v>0</v>
      </c>
      <c r="P153" s="136">
        <f ca="1">+P43*Composting!K40</f>
        <v>0</v>
      </c>
      <c r="Q153" s="74">
        <f ca="1">+Q43*Composting!L40</f>
        <v>0</v>
      </c>
      <c r="R153" s="74">
        <f ca="1">+R43*Composting!M40</f>
        <v>0</v>
      </c>
      <c r="S153" s="74">
        <f ca="1">+S43*Composting!N40</f>
        <v>0</v>
      </c>
      <c r="T153" s="74">
        <f ca="1">+T43*Composting!O40</f>
        <v>0</v>
      </c>
      <c r="U153" s="137">
        <f t="shared" ref="U153:U156" ca="1" si="66">SUM(P153:T153)</f>
        <v>0</v>
      </c>
      <c r="V153" s="74">
        <f ca="1">+V43*Composting!P40</f>
        <v>759.27718743948572</v>
      </c>
      <c r="W153" s="74">
        <f ca="1">+W43*Composting!Q40</f>
        <v>0</v>
      </c>
      <c r="X153" s="74">
        <f ca="1">+X43*Composting!R40</f>
        <v>0</v>
      </c>
    </row>
    <row r="154" spans="2:24" s="1" customFormat="1" x14ac:dyDescent="0.5">
      <c r="C154" s="2" t="s">
        <v>16</v>
      </c>
      <c r="G154" s="293"/>
      <c r="H154" s="99">
        <f ca="1">+SUM(O154,U154:X154)</f>
        <v>273.63075674133262</v>
      </c>
      <c r="I154" s="305">
        <f ca="1">H154/$H$61</f>
        <v>1.3250176040998545E-3</v>
      </c>
      <c r="J154" s="112"/>
      <c r="K154" s="74">
        <f ca="1">+K44*Composting!G41</f>
        <v>42.891933753064833</v>
      </c>
      <c r="L154" s="74">
        <f ca="1">+L44*Composting!H41</f>
        <v>42.891933753064833</v>
      </c>
      <c r="M154" s="74">
        <f ca="1">+M44*Composting!I41</f>
        <v>0</v>
      </c>
      <c r="N154" s="74">
        <f ca="1">+N44*Composting!J41</f>
        <v>0</v>
      </c>
      <c r="O154" s="137">
        <f ca="1">SUM(K154:N154)</f>
        <v>85.783867506129667</v>
      </c>
      <c r="P154" s="136">
        <f ca="1">+P44*Composting!K41</f>
        <v>0</v>
      </c>
      <c r="Q154" s="74">
        <f ca="1">+Q44*Composting!L41</f>
        <v>0</v>
      </c>
      <c r="R154" s="74">
        <f ca="1">+R44*Composting!M41</f>
        <v>0</v>
      </c>
      <c r="S154" s="74">
        <f ca="1">+S44*Composting!N41</f>
        <v>0</v>
      </c>
      <c r="T154" s="74">
        <f ca="1">+T44*Composting!O41</f>
        <v>0</v>
      </c>
      <c r="U154" s="137">
        <f t="shared" ca="1" si="66"/>
        <v>0</v>
      </c>
      <c r="V154" s="74">
        <f ca="1">+V44*Composting!P41</f>
        <v>187.84688923520295</v>
      </c>
      <c r="W154" s="74">
        <f ca="1">+W44*Composting!Q41</f>
        <v>0</v>
      </c>
      <c r="X154" s="74">
        <f ca="1">+X44*Composting!R41</f>
        <v>0</v>
      </c>
    </row>
    <row r="155" spans="2:24" s="1" customFormat="1" x14ac:dyDescent="0.5">
      <c r="C155" s="2" t="s">
        <v>17</v>
      </c>
      <c r="G155" s="293"/>
      <c r="H155" s="99">
        <f ca="1">+SUM(O155,U155:X155)</f>
        <v>0</v>
      </c>
      <c r="I155" s="305">
        <f ca="1">H155/$H$61</f>
        <v>0</v>
      </c>
      <c r="J155" s="112"/>
      <c r="K155" s="74">
        <f ca="1">+K45*Composting!G42</f>
        <v>0</v>
      </c>
      <c r="L155" s="74">
        <f ca="1">+L45*Composting!H42</f>
        <v>0</v>
      </c>
      <c r="M155" s="74">
        <f ca="1">+M45*Composting!I42</f>
        <v>0</v>
      </c>
      <c r="N155" s="74">
        <f ca="1">+N45*Composting!J42</f>
        <v>0</v>
      </c>
      <c r="O155" s="137">
        <f ca="1">SUM(K155:N155)</f>
        <v>0</v>
      </c>
      <c r="P155" s="136">
        <f ca="1">+P45*Composting!K42</f>
        <v>0</v>
      </c>
      <c r="Q155" s="74">
        <f ca="1">+Q45*Composting!L42</f>
        <v>0</v>
      </c>
      <c r="R155" s="74">
        <f ca="1">+R45*Composting!M42</f>
        <v>0</v>
      </c>
      <c r="S155" s="74">
        <f ca="1">+S45*Composting!N42</f>
        <v>0</v>
      </c>
      <c r="T155" s="74">
        <f ca="1">+T45*Composting!O42</f>
        <v>0</v>
      </c>
      <c r="U155" s="137">
        <f t="shared" ca="1" si="66"/>
        <v>0</v>
      </c>
      <c r="V155" s="74">
        <f ca="1">+V45*Composting!P42</f>
        <v>0</v>
      </c>
      <c r="W155" s="74">
        <f ca="1">+W45*Composting!Q42</f>
        <v>0</v>
      </c>
      <c r="X155" s="74">
        <f ca="1">+X45*Composting!R42</f>
        <v>0</v>
      </c>
    </row>
    <row r="156" spans="2:24" s="1" customFormat="1" x14ac:dyDescent="0.5">
      <c r="B156" s="98"/>
      <c r="C156" s="47" t="s">
        <v>18</v>
      </c>
      <c r="D156" s="48"/>
      <c r="E156" s="48"/>
      <c r="F156" s="48"/>
      <c r="G156" s="293"/>
      <c r="H156" s="101">
        <f ca="1">+SUM(O156,U156:X156)</f>
        <v>183.78127578620669</v>
      </c>
      <c r="I156" s="307">
        <f ca="1">H156/$H$61</f>
        <v>8.8993440876549996E-4</v>
      </c>
      <c r="J156" s="112"/>
      <c r="K156" s="49">
        <f ca="1">+K46*Composting!G43</f>
        <v>0</v>
      </c>
      <c r="L156" s="49">
        <f ca="1">+L46*Composting!H43</f>
        <v>0</v>
      </c>
      <c r="M156" s="49">
        <f ca="1">+M46*Composting!I43</f>
        <v>0</v>
      </c>
      <c r="N156" s="49">
        <f ca="1">+N46*Composting!J43</f>
        <v>0</v>
      </c>
      <c r="O156" s="144">
        <f ca="1">SUM(K156:N156)</f>
        <v>0</v>
      </c>
      <c r="P156" s="143">
        <f ca="1">+P46*Composting!K43</f>
        <v>0</v>
      </c>
      <c r="Q156" s="49">
        <f ca="1">+Q46*Composting!L43</f>
        <v>0</v>
      </c>
      <c r="R156" s="49">
        <f ca="1">+R46*Composting!M43</f>
        <v>0</v>
      </c>
      <c r="S156" s="49">
        <f ca="1">+S46*Composting!N43</f>
        <v>0</v>
      </c>
      <c r="T156" s="49">
        <f ca="1">+T46*Composting!O43</f>
        <v>0</v>
      </c>
      <c r="U156" s="144">
        <f t="shared" ca="1" si="66"/>
        <v>0</v>
      </c>
      <c r="V156" s="49">
        <f ca="1">+V46*Composting!P43</f>
        <v>0</v>
      </c>
      <c r="W156" s="49">
        <f ca="1">+W46*Composting!Q43</f>
        <v>0</v>
      </c>
      <c r="X156" s="49">
        <f ca="1">+X46*Composting!R43</f>
        <v>183.78127578620669</v>
      </c>
    </row>
    <row r="157" spans="2:24" s="43" customFormat="1" x14ac:dyDescent="0.5">
      <c r="B157" s="3" t="s">
        <v>37</v>
      </c>
      <c r="C157" s="44"/>
      <c r="G157" s="294"/>
      <c r="H157" s="102">
        <f ca="1">+SUM(H151,H153:H156)</f>
        <v>5950.4384575729118</v>
      </c>
      <c r="I157" s="308">
        <f ca="1">H157/$H$61</f>
        <v>2.8814142833549126E-2</v>
      </c>
      <c r="J157" s="113"/>
      <c r="K157" s="152">
        <f ca="1">+SUM(K151,K153:K156)</f>
        <v>720.5802853312457</v>
      </c>
      <c r="L157" s="152">
        <f ca="1">+SUM(L151,L153:L156)</f>
        <v>42.891933753064833</v>
      </c>
      <c r="M157" s="152">
        <f ca="1">+SUM(M151,M153:M156)</f>
        <v>2015.6369651387624</v>
      </c>
      <c r="N157" s="152">
        <f ca="1">+SUM(N151,N153:N156)</f>
        <v>2040.4239208889435</v>
      </c>
      <c r="O157" s="137">
        <f ca="1">+SUM(O151,O153:O156)</f>
        <v>4819.5331051120165</v>
      </c>
      <c r="P157" s="152">
        <f t="shared" ref="P157:R157" ca="1" si="67">+SUM(P151,P153:P156)</f>
        <v>0</v>
      </c>
      <c r="Q157" s="152">
        <f t="shared" ca="1" si="67"/>
        <v>0</v>
      </c>
      <c r="R157" s="152">
        <f t="shared" ca="1" si="67"/>
        <v>0</v>
      </c>
      <c r="S157" s="152">
        <f ca="1">+SUM(S151,S153:S156)</f>
        <v>0</v>
      </c>
      <c r="T157" s="152">
        <f t="shared" ref="T157" ca="1" si="68">+SUM(T151,T153:T156)</f>
        <v>0</v>
      </c>
      <c r="U157" s="137">
        <f ca="1">+SUM(U151,U153:U156)</f>
        <v>0</v>
      </c>
      <c r="V157" s="152">
        <f t="shared" ref="V157:X157" ca="1" si="69">+SUM(V151,V153:V156)</f>
        <v>947.12407667468869</v>
      </c>
      <c r="W157" s="152">
        <f t="shared" ca="1" si="69"/>
        <v>0</v>
      </c>
      <c r="X157" s="152">
        <f t="shared" ca="1" si="69"/>
        <v>183.78127578620669</v>
      </c>
    </row>
    <row r="158" spans="2:24" s="1" customFormat="1" ht="7.1" customHeight="1" x14ac:dyDescent="0.5">
      <c r="B158" s="3"/>
      <c r="G158" s="295"/>
      <c r="H158" s="100"/>
      <c r="I158" s="100"/>
      <c r="J158" s="112"/>
      <c r="K158" s="74"/>
      <c r="L158" s="74"/>
      <c r="M158" s="74"/>
      <c r="N158" s="74"/>
      <c r="O158" s="137"/>
      <c r="P158" s="136"/>
      <c r="Q158" s="74"/>
      <c r="R158" s="74"/>
      <c r="S158" s="74"/>
      <c r="T158" s="74"/>
      <c r="U158" s="137"/>
      <c r="V158" s="74"/>
      <c r="W158" s="74"/>
      <c r="X158" s="74"/>
    </row>
    <row r="159" spans="2:24" s="1" customFormat="1" x14ac:dyDescent="0.5">
      <c r="B159" s="10" t="s">
        <v>19</v>
      </c>
      <c r="C159" s="9"/>
      <c r="D159" s="9"/>
      <c r="E159" s="11"/>
      <c r="F159" s="11"/>
      <c r="G159" s="294"/>
      <c r="H159" s="105"/>
      <c r="I159" s="105"/>
      <c r="J159" s="112"/>
      <c r="K159" s="140"/>
      <c r="L159" s="140"/>
      <c r="M159" s="140"/>
      <c r="N159" s="140"/>
      <c r="O159" s="141"/>
      <c r="P159" s="139"/>
      <c r="Q159" s="140"/>
      <c r="R159" s="140"/>
      <c r="S159" s="140"/>
      <c r="T159" s="140"/>
      <c r="U159" s="141"/>
      <c r="V159" s="140"/>
      <c r="W159" s="140"/>
      <c r="X159" s="140"/>
    </row>
    <row r="160" spans="2:24" s="1" customFormat="1" x14ac:dyDescent="0.5">
      <c r="B160" s="2" t="s">
        <v>19</v>
      </c>
      <c r="E160" s="2"/>
      <c r="F160" s="2"/>
      <c r="G160" s="293"/>
      <c r="H160" s="99">
        <f ca="1">+SUM(O160,U160:X160)</f>
        <v>57133.912132366757</v>
      </c>
      <c r="I160" s="305">
        <f ca="1">H160/$H$61</f>
        <v>0.27666275629257508</v>
      </c>
      <c r="J160" s="112"/>
      <c r="K160" s="74">
        <f ca="1">+K50*Composting!G46</f>
        <v>0</v>
      </c>
      <c r="L160" s="74">
        <f ca="1">+L50*Composting!H46</f>
        <v>57133.912132366757</v>
      </c>
      <c r="M160" s="74">
        <f ca="1">+M50*Composting!I46</f>
        <v>0</v>
      </c>
      <c r="N160" s="74">
        <f ca="1">+N50*Composting!J46</f>
        <v>0</v>
      </c>
      <c r="O160" s="137">
        <f ca="1">SUM(K160:N160)</f>
        <v>57133.912132366757</v>
      </c>
      <c r="P160" s="136">
        <f ca="1">+P50*Composting!K46</f>
        <v>0</v>
      </c>
      <c r="Q160" s="74">
        <f ca="1">+Q50*Composting!L46</f>
        <v>0</v>
      </c>
      <c r="R160" s="74">
        <f ca="1">+R50*Composting!M46</f>
        <v>0</v>
      </c>
      <c r="S160" s="74">
        <f ca="1">+S50*Composting!N46</f>
        <v>0</v>
      </c>
      <c r="T160" s="74">
        <f ca="1">+T50*Composting!O46</f>
        <v>0</v>
      </c>
      <c r="U160" s="137">
        <f ca="1">SUM(P160:T160)</f>
        <v>0</v>
      </c>
      <c r="V160" s="74">
        <f ca="1">+V50*Composting!P46</f>
        <v>0</v>
      </c>
      <c r="W160" s="74">
        <f ca="1">+W50*Composting!Q46</f>
        <v>0</v>
      </c>
      <c r="X160" s="74">
        <f ca="1">+X50*Composting!R46</f>
        <v>0</v>
      </c>
    </row>
    <row r="161" spans="2:24" s="1" customFormat="1" ht="7.1" customHeight="1" x14ac:dyDescent="0.5">
      <c r="B161" s="2"/>
      <c r="E161" s="2"/>
      <c r="F161" s="2"/>
      <c r="G161" s="295"/>
      <c r="H161" s="100"/>
      <c r="I161" s="100"/>
      <c r="J161" s="112"/>
      <c r="K161" s="74"/>
      <c r="L161" s="74"/>
      <c r="M161" s="74"/>
      <c r="N161" s="74"/>
      <c r="O161" s="137"/>
      <c r="P161" s="136"/>
      <c r="Q161" s="74"/>
      <c r="R161" s="74"/>
      <c r="S161" s="74"/>
      <c r="T161" s="74"/>
      <c r="U161" s="137"/>
      <c r="V161" s="74"/>
      <c r="W161" s="74"/>
      <c r="X161" s="74"/>
    </row>
    <row r="162" spans="2:24" s="1" customFormat="1" x14ac:dyDescent="0.5">
      <c r="B162" s="10" t="s">
        <v>25</v>
      </c>
      <c r="C162" s="9"/>
      <c r="D162" s="9"/>
      <c r="E162" s="9"/>
      <c r="F162" s="9"/>
      <c r="G162" s="294"/>
      <c r="H162" s="105"/>
      <c r="I162" s="105"/>
      <c r="J162" s="112"/>
      <c r="K162" s="140"/>
      <c r="L162" s="140"/>
      <c r="M162" s="140"/>
      <c r="N162" s="140"/>
      <c r="O162" s="141"/>
      <c r="P162" s="139"/>
      <c r="Q162" s="140"/>
      <c r="R162" s="140"/>
      <c r="S162" s="140"/>
      <c r="T162" s="140"/>
      <c r="U162" s="141"/>
      <c r="V162" s="140"/>
      <c r="W162" s="140"/>
      <c r="X162" s="140"/>
    </row>
    <row r="163" spans="2:24" s="1" customFormat="1" x14ac:dyDescent="0.5">
      <c r="B163" s="2" t="s">
        <v>25</v>
      </c>
      <c r="G163" s="293"/>
      <c r="H163" s="99">
        <f ca="1">+SUM(O163,U163:X163)</f>
        <v>1402.1410491629938</v>
      </c>
      <c r="I163" s="305">
        <f ca="1">H163/$H$61</f>
        <v>6.7896664676780896E-3</v>
      </c>
      <c r="J163" s="112"/>
      <c r="K163" s="74">
        <f ca="1">+K53*Composting!G49</f>
        <v>1402.1410491629938</v>
      </c>
      <c r="L163" s="74">
        <f ca="1">+L53*Composting!H49</f>
        <v>0</v>
      </c>
      <c r="M163" s="74">
        <f ca="1">+M53*Composting!I49</f>
        <v>0</v>
      </c>
      <c r="N163" s="74">
        <f ca="1">+N53*Composting!J49</f>
        <v>0</v>
      </c>
      <c r="O163" s="137">
        <f ca="1">SUM(K163:N163)</f>
        <v>1402.1410491629938</v>
      </c>
      <c r="P163" s="136">
        <f ca="1">+P53*Composting!K49</f>
        <v>0</v>
      </c>
      <c r="Q163" s="74">
        <f ca="1">+Q53*Composting!L49</f>
        <v>0</v>
      </c>
      <c r="R163" s="74">
        <f ca="1">+R53*Composting!M49</f>
        <v>0</v>
      </c>
      <c r="S163" s="74">
        <f ca="1">+S53*Composting!N49</f>
        <v>0</v>
      </c>
      <c r="T163" s="74">
        <f ca="1">+T53*Composting!O49</f>
        <v>0</v>
      </c>
      <c r="U163" s="137">
        <f ca="1">SUM(P163:T163)</f>
        <v>0</v>
      </c>
      <c r="V163" s="74">
        <f ca="1">+V53*Composting!P49</f>
        <v>0</v>
      </c>
      <c r="W163" s="74">
        <f ca="1">+W53*Composting!Q49</f>
        <v>0</v>
      </c>
      <c r="X163" s="74">
        <f ca="1">+X53*Composting!R49</f>
        <v>0</v>
      </c>
    </row>
    <row r="164" spans="2:24" s="1" customFormat="1" ht="7.1" customHeight="1" x14ac:dyDescent="0.5">
      <c r="B164" s="2"/>
      <c r="G164" s="295"/>
      <c r="H164" s="100"/>
      <c r="I164" s="100"/>
      <c r="J164" s="112"/>
      <c r="K164" s="74"/>
      <c r="L164" s="74"/>
      <c r="M164" s="74"/>
      <c r="N164" s="74"/>
      <c r="O164" s="137"/>
      <c r="P164" s="136"/>
      <c r="Q164" s="74"/>
      <c r="R164" s="74"/>
      <c r="S164" s="74"/>
      <c r="T164" s="74"/>
      <c r="U164" s="137"/>
      <c r="V164" s="74"/>
      <c r="W164" s="74"/>
      <c r="X164" s="74"/>
    </row>
    <row r="165" spans="2:24" s="1" customFormat="1" x14ac:dyDescent="0.5">
      <c r="B165" s="10" t="s">
        <v>4</v>
      </c>
      <c r="C165" s="9"/>
      <c r="D165" s="9"/>
      <c r="E165" s="9"/>
      <c r="F165" s="9"/>
      <c r="G165" s="294"/>
      <c r="H165" s="105"/>
      <c r="I165" s="105"/>
      <c r="J165" s="112"/>
      <c r="K165" s="140"/>
      <c r="L165" s="140"/>
      <c r="M165" s="140"/>
      <c r="N165" s="140"/>
      <c r="O165" s="141"/>
      <c r="P165" s="139"/>
      <c r="Q165" s="140"/>
      <c r="R165" s="140"/>
      <c r="S165" s="140"/>
      <c r="T165" s="140"/>
      <c r="U165" s="141"/>
      <c r="V165" s="140"/>
      <c r="W165" s="140"/>
      <c r="X165" s="140"/>
    </row>
    <row r="166" spans="2:24" s="1" customFormat="1" x14ac:dyDescent="0.5">
      <c r="B166" s="2" t="s">
        <v>20</v>
      </c>
      <c r="E166" s="2"/>
      <c r="F166" s="2"/>
      <c r="G166" s="293"/>
      <c r="H166" s="99">
        <f ca="1">+SUM(O166,U166:X166)</f>
        <v>550.2517830179321</v>
      </c>
      <c r="I166" s="305">
        <f ca="1">H166/$H$61</f>
        <v>2.6645151585620785E-3</v>
      </c>
      <c r="J166" s="112"/>
      <c r="K166" s="74">
        <f ca="1">+K56*Composting!G52</f>
        <v>406.5837291726076</v>
      </c>
      <c r="L166" s="74">
        <f ca="1">+L56*Composting!H52</f>
        <v>119.7915239523405</v>
      </c>
      <c r="M166" s="74">
        <f ca="1">+M56*Composting!I52</f>
        <v>0</v>
      </c>
      <c r="N166" s="74">
        <f ca="1">+N56*Composting!J52</f>
        <v>23.876529892983946</v>
      </c>
      <c r="O166" s="137">
        <f ca="1">SUM(K166:N166)</f>
        <v>550.2517830179321</v>
      </c>
      <c r="P166" s="136">
        <f ca="1">+P56*Composting!K52</f>
        <v>0</v>
      </c>
      <c r="Q166" s="74">
        <f ca="1">+Q56*Composting!L52</f>
        <v>0</v>
      </c>
      <c r="R166" s="74">
        <f ca="1">+R56*Composting!M52</f>
        <v>0</v>
      </c>
      <c r="S166" s="74">
        <f ca="1">+S56*Composting!N52</f>
        <v>0</v>
      </c>
      <c r="T166" s="74">
        <f ca="1">+T56*Composting!O52</f>
        <v>0</v>
      </c>
      <c r="U166" s="137">
        <f t="shared" ref="U166:U168" ca="1" si="70">SUM(P166:T166)</f>
        <v>0</v>
      </c>
      <c r="V166" s="74">
        <f ca="1">+V56*Composting!P52</f>
        <v>0</v>
      </c>
      <c r="W166" s="74">
        <f ca="1">+W56*Composting!Q52</f>
        <v>0</v>
      </c>
      <c r="X166" s="74">
        <f ca="1">+X56*Composting!R52</f>
        <v>0</v>
      </c>
    </row>
    <row r="167" spans="2:24" s="1" customFormat="1" x14ac:dyDescent="0.5">
      <c r="B167" s="2" t="s">
        <v>11</v>
      </c>
      <c r="E167" s="2"/>
      <c r="F167" s="2"/>
      <c r="G167" s="293"/>
      <c r="H167" s="99">
        <f ca="1">+SUM(O167,U167:X167)</f>
        <v>131.36465488616508</v>
      </c>
      <c r="I167" s="305">
        <f ca="1">H167/$H$61</f>
        <v>6.3611445713762638E-4</v>
      </c>
      <c r="J167" s="112"/>
      <c r="K167" s="74">
        <f ca="1">+K57*Composting!G53</f>
        <v>100.84376845333234</v>
      </c>
      <c r="L167" s="74">
        <f ca="1">+L57*Composting!H53</f>
        <v>0</v>
      </c>
      <c r="M167" s="74">
        <f ca="1">+M57*Composting!I53</f>
        <v>0</v>
      </c>
      <c r="N167" s="74">
        <f ca="1">+N57*Composting!J53</f>
        <v>0</v>
      </c>
      <c r="O167" s="137">
        <f ca="1">SUM(K167:N167)</f>
        <v>100.84376845333234</v>
      </c>
      <c r="P167" s="136">
        <f ca="1">+P57*Composting!K53</f>
        <v>0</v>
      </c>
      <c r="Q167" s="74">
        <f ca="1">+Q57*Composting!L53</f>
        <v>0</v>
      </c>
      <c r="R167" s="74">
        <f ca="1">+R57*Composting!M53</f>
        <v>0</v>
      </c>
      <c r="S167" s="74">
        <f ca="1">+S57*Composting!N53</f>
        <v>0</v>
      </c>
      <c r="T167" s="74">
        <f ca="1">+T57*Composting!O53</f>
        <v>0</v>
      </c>
      <c r="U167" s="137">
        <f t="shared" ca="1" si="70"/>
        <v>0</v>
      </c>
      <c r="V167" s="74">
        <f ca="1">+V57*Composting!P53</f>
        <v>30.520886432832746</v>
      </c>
      <c r="W167" s="74">
        <f ca="1">+W57*Composting!Q53</f>
        <v>0</v>
      </c>
      <c r="X167" s="74">
        <f ca="1">+X57*Composting!R53</f>
        <v>0</v>
      </c>
    </row>
    <row r="168" spans="2:24" s="1" customFormat="1" x14ac:dyDescent="0.5">
      <c r="B168" s="47" t="s">
        <v>55</v>
      </c>
      <c r="C168" s="48"/>
      <c r="D168" s="48"/>
      <c r="E168" s="47"/>
      <c r="F168" s="47"/>
      <c r="G168" s="293"/>
      <c r="H168" s="101">
        <f ca="1">+SUM(O168,U168:X168)</f>
        <v>763.85709529736414</v>
      </c>
      <c r="I168" s="307">
        <f ca="1">H168/$H$61</f>
        <v>3.698868176731917E-3</v>
      </c>
      <c r="J168" s="112"/>
      <c r="K168" s="49">
        <f ca="1">+K58*Composting!G54</f>
        <v>0</v>
      </c>
      <c r="L168" s="49">
        <f ca="1">+L58*Composting!H54</f>
        <v>763.85709529736414</v>
      </c>
      <c r="M168" s="49">
        <f ca="1">+M58*Composting!I54</f>
        <v>0</v>
      </c>
      <c r="N168" s="49">
        <f ca="1">+N58*Composting!J54</f>
        <v>0</v>
      </c>
      <c r="O168" s="144">
        <f ca="1">SUM(K168:N168)</f>
        <v>763.85709529736414</v>
      </c>
      <c r="P168" s="143">
        <f ca="1">+P58*Composting!K54</f>
        <v>0</v>
      </c>
      <c r="Q168" s="49">
        <f ca="1">+Q58*Composting!L54</f>
        <v>0</v>
      </c>
      <c r="R168" s="49">
        <f ca="1">+R58*Composting!M54</f>
        <v>0</v>
      </c>
      <c r="S168" s="49">
        <f ca="1">+S58*Composting!N54</f>
        <v>0</v>
      </c>
      <c r="T168" s="49">
        <f ca="1">+T58*Composting!O54</f>
        <v>0</v>
      </c>
      <c r="U168" s="144">
        <f t="shared" ca="1" si="70"/>
        <v>0</v>
      </c>
      <c r="V168" s="49">
        <f ca="1">+V58*Composting!P54</f>
        <v>0</v>
      </c>
      <c r="W168" s="49">
        <f ca="1">+W58*Composting!Q54</f>
        <v>0</v>
      </c>
      <c r="X168" s="49">
        <f ca="1">+X58*Composting!R54</f>
        <v>0</v>
      </c>
    </row>
    <row r="169" spans="2:24" s="43" customFormat="1" x14ac:dyDescent="0.5">
      <c r="B169" s="44" t="s">
        <v>38</v>
      </c>
      <c r="E169" s="44"/>
      <c r="F169" s="44"/>
      <c r="G169" s="299"/>
      <c r="H169" s="104">
        <f ca="1">SUM(H166:H168)</f>
        <v>1445.4735332014614</v>
      </c>
      <c r="I169" s="308">
        <f ca="1">H169/$H$61</f>
        <v>6.9994977924316215E-3</v>
      </c>
      <c r="J169" s="113"/>
      <c r="K169" s="152">
        <f t="shared" ref="K169:R169" ca="1" si="71">SUM(K166:K168)</f>
        <v>507.42749762593996</v>
      </c>
      <c r="L169" s="152">
        <f t="shared" ca="1" si="71"/>
        <v>883.64861924970467</v>
      </c>
      <c r="M169" s="152">
        <f ca="1">SUM(M166:M168)</f>
        <v>0</v>
      </c>
      <c r="N169" s="152">
        <f ca="1">SUM(N166:N168)</f>
        <v>23.876529892983946</v>
      </c>
      <c r="O169" s="137">
        <f t="shared" ca="1" si="71"/>
        <v>1414.9526467686287</v>
      </c>
      <c r="P169" s="151">
        <f t="shared" ca="1" si="71"/>
        <v>0</v>
      </c>
      <c r="Q169" s="152">
        <f t="shared" ca="1" si="71"/>
        <v>0</v>
      </c>
      <c r="R169" s="152">
        <f t="shared" ca="1" si="71"/>
        <v>0</v>
      </c>
      <c r="S169" s="152">
        <f ca="1">SUM(S166:S168)</f>
        <v>0</v>
      </c>
      <c r="T169" s="152">
        <f t="shared" ref="T169:X169" ca="1" si="72">SUM(T166:T168)</f>
        <v>0</v>
      </c>
      <c r="U169" s="137">
        <f t="shared" ca="1" si="72"/>
        <v>0</v>
      </c>
      <c r="V169" s="152">
        <f t="shared" ca="1" si="72"/>
        <v>30.520886432832746</v>
      </c>
      <c r="W169" s="152">
        <f t="shared" ca="1" si="72"/>
        <v>0</v>
      </c>
      <c r="X169" s="152">
        <f t="shared" ca="1" si="72"/>
        <v>0</v>
      </c>
    </row>
    <row r="170" spans="2:24" s="43" customFormat="1" ht="7.1" customHeight="1" thickBot="1" x14ac:dyDescent="0.55000000000000004">
      <c r="B170" s="44"/>
      <c r="E170" s="44"/>
      <c r="F170" s="44"/>
      <c r="G170" s="299"/>
      <c r="H170" s="104"/>
      <c r="I170" s="104"/>
      <c r="J170" s="113"/>
      <c r="K170" s="74"/>
      <c r="L170" s="74"/>
      <c r="M170" s="74"/>
      <c r="N170" s="74"/>
      <c r="O170" s="137"/>
      <c r="P170" s="136"/>
      <c r="Q170" s="74"/>
      <c r="R170" s="74"/>
      <c r="S170" s="74"/>
      <c r="T170" s="74"/>
      <c r="U170" s="137"/>
      <c r="V170" s="74"/>
      <c r="W170" s="74"/>
      <c r="X170" s="74"/>
    </row>
    <row r="171" spans="2:24" s="43" customFormat="1" ht="14.7" thickBot="1" x14ac:dyDescent="0.55000000000000004">
      <c r="B171" s="146" t="s">
        <v>39</v>
      </c>
      <c r="C171" s="147"/>
      <c r="D171" s="147"/>
      <c r="E171" s="148"/>
      <c r="F171" s="148"/>
      <c r="G171" s="299"/>
      <c r="H171" s="182">
        <f ca="1">SUM(H129,H137,H142,H147,H157,H160,H163,H169)</f>
        <v>122427.28589993798</v>
      </c>
      <c r="I171" s="306">
        <f ca="1">H171/$H$61</f>
        <v>0.59283653260123526</v>
      </c>
      <c r="J171" s="114"/>
      <c r="K171" s="154">
        <f t="shared" ref="K171:R171" ca="1" si="73">SUM(K129,K137,K142,K147,K157,K160,K163,K169)</f>
        <v>17067.727258862054</v>
      </c>
      <c r="L171" s="154">
        <f t="shared" ca="1" si="73"/>
        <v>94684.334990540679</v>
      </c>
      <c r="M171" s="154">
        <f ca="1">SUM(M129,M137,M142,M147,M157,M160,M163,M169)</f>
        <v>4806.9759454117229</v>
      </c>
      <c r="N171" s="154">
        <f ca="1">SUM(N129,N137,N142,N147,N157,N160,N163,N169)</f>
        <v>2385.1130936818472</v>
      </c>
      <c r="O171" s="149">
        <f t="shared" ca="1" si="73"/>
        <v>118944.15128849629</v>
      </c>
      <c r="P171" s="153">
        <f t="shared" ca="1" si="73"/>
        <v>0</v>
      </c>
      <c r="Q171" s="154">
        <f t="shared" ca="1" si="73"/>
        <v>0</v>
      </c>
      <c r="R171" s="154">
        <f t="shared" ca="1" si="73"/>
        <v>0</v>
      </c>
      <c r="S171" s="154">
        <f ca="1">SUM(S129,S137,S142,S147,S157,S160,S163,S169)</f>
        <v>0</v>
      </c>
      <c r="T171" s="154">
        <f t="shared" ref="T171:X171" ca="1" si="74">SUM(T129,T137,T142,T147,T157,T160,T163,T169)</f>
        <v>0</v>
      </c>
      <c r="U171" s="149">
        <f t="shared" ca="1" si="74"/>
        <v>0</v>
      </c>
      <c r="V171" s="154">
        <f t="shared" ca="1" si="74"/>
        <v>3299.3533356554676</v>
      </c>
      <c r="W171" s="154">
        <f t="shared" ca="1" si="74"/>
        <v>0</v>
      </c>
      <c r="X171" s="155">
        <f t="shared" ca="1" si="74"/>
        <v>183.78127578620669</v>
      </c>
    </row>
  </sheetData>
  <sheetProtection algorithmName="SHA-512" hashValue="pErDY3Zr+no1oAuHu1aFDfg1tsV8IsLeSOOl6v+v0iVPGn06RiVJBJAZpcCY5YU7oPhyyeaeacPptyBUaFTXbA==" saltValue="qpEZaUuPTpfInww1RnCaXw==" spinCount="100000" sheet="1" objects="1" scenarios="1"/>
  <mergeCells count="5">
    <mergeCell ref="P10:U10"/>
    <mergeCell ref="V10:X10"/>
    <mergeCell ref="V120:X120"/>
    <mergeCell ref="P65:U65"/>
    <mergeCell ref="V65:X65"/>
  </mergeCells>
  <dataValidations count="1">
    <dataValidation type="list" allowBlank="1" showInputMessage="1" showErrorMessage="1" sqref="N6" xr:uid="{00000000-0002-0000-0500-000000000000}">
      <formula1>"1,2,3"</formula1>
    </dataValidation>
  </dataValidation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Conversions!$B$7:$B$10</xm:f>
          </x14:formula1>
          <xm:sqref>F4</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2"/>
  <sheetViews>
    <sheetView showGridLines="0" zoomScale="115" zoomScaleNormal="115" zoomScalePageLayoutView="115" workbookViewId="0">
      <selection activeCell="E99" sqref="E99"/>
    </sheetView>
  </sheetViews>
  <sheetFormatPr defaultColWidth="0" defaultRowHeight="13.95" customHeight="1" zeroHeight="1" x14ac:dyDescent="0.5"/>
  <cols>
    <col min="1" max="1" width="2.3515625" style="45" customWidth="1"/>
    <col min="2" max="13" width="9.1171875" style="45" customWidth="1"/>
    <col min="14" max="14" width="2.3515625" style="45" customWidth="1"/>
    <col min="15" max="16384" width="9.1171875" style="45" hidden="1"/>
  </cols>
  <sheetData>
    <row r="1" spans="1:13" s="79" customFormat="1" ht="18" x14ac:dyDescent="0.6">
      <c r="A1" s="79" t="s">
        <v>95</v>
      </c>
    </row>
    <row r="2" spans="1:13" ht="9" customHeight="1" x14ac:dyDescent="0.5"/>
    <row r="3" spans="1:13" ht="14.7" thickBot="1" x14ac:dyDescent="0.55000000000000004"/>
    <row r="4" spans="1:13" ht="15.7" x14ac:dyDescent="0.55000000000000004">
      <c r="B4" s="80" t="s">
        <v>149</v>
      </c>
      <c r="C4" s="81"/>
      <c r="D4" s="81"/>
      <c r="E4" s="81"/>
      <c r="F4" s="81"/>
      <c r="G4" s="81"/>
      <c r="H4" s="81"/>
      <c r="I4" s="81"/>
      <c r="J4" s="81"/>
      <c r="K4" s="81"/>
      <c r="L4" s="81"/>
      <c r="M4" s="82"/>
    </row>
    <row r="5" spans="1:13" ht="33.450000000000003" customHeight="1" x14ac:dyDescent="0.5">
      <c r="B5" s="353" t="s">
        <v>148</v>
      </c>
      <c r="C5" s="354"/>
      <c r="D5" s="354"/>
      <c r="E5" s="354"/>
      <c r="F5" s="354"/>
      <c r="G5" s="354"/>
      <c r="H5" s="354"/>
      <c r="I5" s="354"/>
      <c r="J5" s="354"/>
      <c r="K5" s="354"/>
      <c r="L5" s="354"/>
      <c r="M5" s="355"/>
    </row>
    <row r="6" spans="1:13" ht="33.450000000000003" customHeight="1" x14ac:dyDescent="0.5">
      <c r="B6" s="356"/>
      <c r="C6" s="354"/>
      <c r="D6" s="354"/>
      <c r="E6" s="354"/>
      <c r="F6" s="354"/>
      <c r="G6" s="354"/>
      <c r="H6" s="354"/>
      <c r="I6" s="354"/>
      <c r="J6" s="354"/>
      <c r="K6" s="354"/>
      <c r="L6" s="354"/>
      <c r="M6" s="355"/>
    </row>
    <row r="7" spans="1:13" ht="33.450000000000003" customHeight="1" x14ac:dyDescent="0.5">
      <c r="B7" s="356"/>
      <c r="C7" s="354"/>
      <c r="D7" s="354"/>
      <c r="E7" s="354"/>
      <c r="F7" s="354"/>
      <c r="G7" s="354"/>
      <c r="H7" s="354"/>
      <c r="I7" s="354"/>
      <c r="J7" s="354"/>
      <c r="K7" s="354"/>
      <c r="L7" s="354"/>
      <c r="M7" s="355"/>
    </row>
    <row r="8" spans="1:13" ht="33.450000000000003" customHeight="1" x14ac:dyDescent="0.5">
      <c r="B8" s="356"/>
      <c r="C8" s="354"/>
      <c r="D8" s="354"/>
      <c r="E8" s="354"/>
      <c r="F8" s="354"/>
      <c r="G8" s="354"/>
      <c r="H8" s="354"/>
      <c r="I8" s="354"/>
      <c r="J8" s="354"/>
      <c r="K8" s="354"/>
      <c r="L8" s="354"/>
      <c r="M8" s="355"/>
    </row>
    <row r="9" spans="1:13" ht="22.1" customHeight="1" thickBot="1" x14ac:dyDescent="0.55000000000000004">
      <c r="B9" s="357"/>
      <c r="C9" s="358"/>
      <c r="D9" s="358"/>
      <c r="E9" s="358"/>
      <c r="F9" s="358"/>
      <c r="G9" s="358"/>
      <c r="H9" s="358"/>
      <c r="I9" s="358"/>
      <c r="J9" s="358"/>
      <c r="K9" s="358"/>
      <c r="L9" s="358"/>
      <c r="M9" s="359"/>
    </row>
    <row r="10" spans="1:13" ht="14.35" x14ac:dyDescent="0.5"/>
    <row r="11" spans="1:13" ht="13.95" customHeight="1" thickBot="1" x14ac:dyDescent="0.55000000000000004">
      <c r="B11" s="321"/>
    </row>
    <row r="12" spans="1:13" ht="13.95" customHeight="1" x14ac:dyDescent="0.55000000000000004">
      <c r="B12" s="80" t="s">
        <v>150</v>
      </c>
      <c r="C12" s="81"/>
      <c r="D12" s="81"/>
      <c r="E12" s="81"/>
      <c r="F12" s="81"/>
      <c r="G12" s="81"/>
      <c r="H12" s="81"/>
      <c r="I12" s="81"/>
      <c r="J12" s="81"/>
      <c r="K12" s="81"/>
      <c r="L12" s="81"/>
      <c r="M12" s="82"/>
    </row>
    <row r="13" spans="1:13" ht="13.95" customHeight="1" x14ac:dyDescent="0.5">
      <c r="B13" s="322"/>
      <c r="C13" s="324"/>
      <c r="D13" s="324"/>
      <c r="E13" s="324"/>
      <c r="F13" s="324"/>
      <c r="G13" s="324"/>
      <c r="H13" s="324"/>
      <c r="I13" s="324"/>
      <c r="J13" s="324"/>
      <c r="K13" s="324"/>
      <c r="L13" s="324"/>
      <c r="M13" s="325"/>
    </row>
    <row r="14" spans="1:13" ht="13.95" customHeight="1" x14ac:dyDescent="0.5">
      <c r="B14" s="353" t="s">
        <v>151</v>
      </c>
      <c r="C14" s="360"/>
      <c r="D14" s="360"/>
      <c r="E14" s="360"/>
      <c r="F14" s="360"/>
      <c r="G14" s="360"/>
      <c r="H14" s="360"/>
      <c r="I14" s="360"/>
      <c r="J14" s="360"/>
      <c r="K14" s="360"/>
      <c r="L14" s="360"/>
      <c r="M14" s="361"/>
    </row>
    <row r="15" spans="1:13" ht="13.95" customHeight="1" x14ac:dyDescent="0.5">
      <c r="B15" s="353"/>
      <c r="C15" s="360"/>
      <c r="D15" s="360"/>
      <c r="E15" s="360"/>
      <c r="F15" s="360"/>
      <c r="G15" s="360"/>
      <c r="H15" s="360"/>
      <c r="I15" s="360"/>
      <c r="J15" s="360"/>
      <c r="K15" s="360"/>
      <c r="L15" s="360"/>
      <c r="M15" s="361"/>
    </row>
    <row r="16" spans="1:13" ht="13.95" customHeight="1" x14ac:dyDescent="0.5">
      <c r="B16" s="353"/>
      <c r="C16" s="360"/>
      <c r="D16" s="360"/>
      <c r="E16" s="360"/>
      <c r="F16" s="360"/>
      <c r="G16" s="360"/>
      <c r="H16" s="360"/>
      <c r="I16" s="360"/>
      <c r="J16" s="360"/>
      <c r="K16" s="360"/>
      <c r="L16" s="360"/>
      <c r="M16" s="361"/>
    </row>
    <row r="17" spans="2:13" ht="13.95" customHeight="1" x14ac:dyDescent="0.5">
      <c r="B17" s="353"/>
      <c r="C17" s="360"/>
      <c r="D17" s="360"/>
      <c r="E17" s="360"/>
      <c r="F17" s="360"/>
      <c r="G17" s="360"/>
      <c r="H17" s="360"/>
      <c r="I17" s="360"/>
      <c r="J17" s="360"/>
      <c r="K17" s="360"/>
      <c r="L17" s="360"/>
      <c r="M17" s="361"/>
    </row>
    <row r="18" spans="2:13" ht="13.95" customHeight="1" x14ac:dyDescent="0.5">
      <c r="B18" s="353"/>
      <c r="C18" s="360"/>
      <c r="D18" s="360"/>
      <c r="E18" s="360"/>
      <c r="F18" s="360"/>
      <c r="G18" s="360"/>
      <c r="H18" s="360"/>
      <c r="I18" s="360"/>
      <c r="J18" s="360"/>
      <c r="K18" s="360"/>
      <c r="L18" s="360"/>
      <c r="M18" s="361"/>
    </row>
    <row r="19" spans="2:13" ht="13.95" customHeight="1" x14ac:dyDescent="0.5">
      <c r="B19" s="320"/>
      <c r="C19" s="323"/>
      <c r="D19" s="323"/>
      <c r="E19" s="323"/>
      <c r="F19" s="323"/>
      <c r="G19" s="323"/>
      <c r="H19" s="323"/>
      <c r="I19" s="323"/>
      <c r="J19" s="323"/>
      <c r="K19" s="323"/>
      <c r="L19" s="323"/>
      <c r="M19" s="329"/>
    </row>
    <row r="20" spans="2:13" ht="13.95" customHeight="1" x14ac:dyDescent="0.5">
      <c r="B20" s="353" t="s">
        <v>152</v>
      </c>
      <c r="C20" s="360"/>
      <c r="D20" s="360"/>
      <c r="E20" s="360"/>
      <c r="F20" s="360"/>
      <c r="G20" s="360"/>
      <c r="H20" s="360"/>
      <c r="I20" s="360"/>
      <c r="J20" s="360"/>
      <c r="K20" s="360"/>
      <c r="L20" s="360"/>
      <c r="M20" s="361"/>
    </row>
    <row r="21" spans="2:13" ht="13.95" customHeight="1" x14ac:dyDescent="0.5">
      <c r="B21" s="353"/>
      <c r="C21" s="360"/>
      <c r="D21" s="360"/>
      <c r="E21" s="360"/>
      <c r="F21" s="360"/>
      <c r="G21" s="360"/>
      <c r="H21" s="360"/>
      <c r="I21" s="360"/>
      <c r="J21" s="360"/>
      <c r="K21" s="360"/>
      <c r="L21" s="360"/>
      <c r="M21" s="361"/>
    </row>
    <row r="22" spans="2:13" ht="13.95" customHeight="1" x14ac:dyDescent="0.5">
      <c r="B22" s="353"/>
      <c r="C22" s="360"/>
      <c r="D22" s="360"/>
      <c r="E22" s="360"/>
      <c r="F22" s="360"/>
      <c r="G22" s="360"/>
      <c r="H22" s="360"/>
      <c r="I22" s="360"/>
      <c r="J22" s="360"/>
      <c r="K22" s="360"/>
      <c r="L22" s="360"/>
      <c r="M22" s="361"/>
    </row>
    <row r="23" spans="2:13" ht="13.95" customHeight="1" x14ac:dyDescent="0.5">
      <c r="B23" s="353"/>
      <c r="C23" s="360"/>
      <c r="D23" s="360"/>
      <c r="E23" s="360"/>
      <c r="F23" s="360"/>
      <c r="G23" s="360"/>
      <c r="H23" s="360"/>
      <c r="I23" s="360"/>
      <c r="J23" s="360"/>
      <c r="K23" s="360"/>
      <c r="L23" s="360"/>
      <c r="M23" s="361"/>
    </row>
    <row r="24" spans="2:13" ht="13.95" customHeight="1" x14ac:dyDescent="0.5">
      <c r="B24" s="353"/>
      <c r="C24" s="360"/>
      <c r="D24" s="360"/>
      <c r="E24" s="360"/>
      <c r="F24" s="360"/>
      <c r="G24" s="360"/>
      <c r="H24" s="360"/>
      <c r="I24" s="360"/>
      <c r="J24" s="360"/>
      <c r="K24" s="360"/>
      <c r="L24" s="360"/>
      <c r="M24" s="361"/>
    </row>
    <row r="25" spans="2:13" ht="13.95" customHeight="1" x14ac:dyDescent="0.5">
      <c r="B25" s="353"/>
      <c r="C25" s="360"/>
      <c r="D25" s="360"/>
      <c r="E25" s="360"/>
      <c r="F25" s="360"/>
      <c r="G25" s="360"/>
      <c r="H25" s="360"/>
      <c r="I25" s="360"/>
      <c r="J25" s="360"/>
      <c r="K25" s="360"/>
      <c r="L25" s="360"/>
      <c r="M25" s="361"/>
    </row>
    <row r="26" spans="2:13" ht="13.95" customHeight="1" x14ac:dyDescent="0.5">
      <c r="B26" s="353"/>
      <c r="C26" s="360"/>
      <c r="D26" s="360"/>
      <c r="E26" s="360"/>
      <c r="F26" s="360"/>
      <c r="G26" s="360"/>
      <c r="H26" s="360"/>
      <c r="I26" s="360"/>
      <c r="J26" s="360"/>
      <c r="K26" s="360"/>
      <c r="L26" s="360"/>
      <c r="M26" s="361"/>
    </row>
    <row r="27" spans="2:13" ht="13.95" customHeight="1" x14ac:dyDescent="0.5">
      <c r="B27" s="353"/>
      <c r="C27" s="360"/>
      <c r="D27" s="360"/>
      <c r="E27" s="360"/>
      <c r="F27" s="360"/>
      <c r="G27" s="360"/>
      <c r="H27" s="360"/>
      <c r="I27" s="360"/>
      <c r="J27" s="360"/>
      <c r="K27" s="360"/>
      <c r="L27" s="360"/>
      <c r="M27" s="361"/>
    </row>
    <row r="28" spans="2:13" ht="13.95" customHeight="1" x14ac:dyDescent="0.5">
      <c r="B28" s="353"/>
      <c r="C28" s="360"/>
      <c r="D28" s="360"/>
      <c r="E28" s="360"/>
      <c r="F28" s="360"/>
      <c r="G28" s="360"/>
      <c r="H28" s="360"/>
      <c r="I28" s="360"/>
      <c r="J28" s="360"/>
      <c r="K28" s="360"/>
      <c r="L28" s="360"/>
      <c r="M28" s="361"/>
    </row>
    <row r="29" spans="2:13" ht="13.95" customHeight="1" x14ac:dyDescent="0.5">
      <c r="B29" s="353"/>
      <c r="C29" s="360"/>
      <c r="D29" s="360"/>
      <c r="E29" s="360"/>
      <c r="F29" s="360"/>
      <c r="G29" s="360"/>
      <c r="H29" s="360"/>
      <c r="I29" s="360"/>
      <c r="J29" s="360"/>
      <c r="K29" s="360"/>
      <c r="L29" s="360"/>
      <c r="M29" s="361"/>
    </row>
    <row r="30" spans="2:13" ht="13.95" customHeight="1" x14ac:dyDescent="0.5">
      <c r="B30" s="353"/>
      <c r="C30" s="360"/>
      <c r="D30" s="360"/>
      <c r="E30" s="360"/>
      <c r="F30" s="360"/>
      <c r="G30" s="360"/>
      <c r="H30" s="360"/>
      <c r="I30" s="360"/>
      <c r="J30" s="360"/>
      <c r="K30" s="360"/>
      <c r="L30" s="360"/>
      <c r="M30" s="361"/>
    </row>
    <row r="31" spans="2:13" ht="13.95" customHeight="1" x14ac:dyDescent="0.5">
      <c r="B31" s="353"/>
      <c r="C31" s="360"/>
      <c r="D31" s="360"/>
      <c r="E31" s="360"/>
      <c r="F31" s="360"/>
      <c r="G31" s="360"/>
      <c r="H31" s="360"/>
      <c r="I31" s="360"/>
      <c r="J31" s="360"/>
      <c r="K31" s="360"/>
      <c r="L31" s="360"/>
      <c r="M31" s="361"/>
    </row>
    <row r="32" spans="2:13" ht="13.95" customHeight="1" x14ac:dyDescent="0.5">
      <c r="B32" s="322"/>
      <c r="C32" s="324"/>
      <c r="D32" s="324"/>
      <c r="E32" s="324"/>
      <c r="F32" s="324"/>
      <c r="G32" s="324"/>
      <c r="H32" s="324"/>
      <c r="I32" s="324"/>
      <c r="J32" s="324"/>
      <c r="K32" s="324"/>
      <c r="L32" s="324"/>
      <c r="M32" s="325"/>
    </row>
    <row r="33" spans="2:13" ht="13.95" customHeight="1" x14ac:dyDescent="0.5">
      <c r="B33" s="353" t="s">
        <v>153</v>
      </c>
      <c r="C33" s="360"/>
      <c r="D33" s="360"/>
      <c r="E33" s="360"/>
      <c r="F33" s="360"/>
      <c r="G33" s="360"/>
      <c r="H33" s="360"/>
      <c r="I33" s="360"/>
      <c r="J33" s="360"/>
      <c r="K33" s="360"/>
      <c r="L33" s="360"/>
      <c r="M33" s="361"/>
    </row>
    <row r="34" spans="2:13" ht="13.95" customHeight="1" x14ac:dyDescent="0.5">
      <c r="B34" s="353"/>
      <c r="C34" s="360"/>
      <c r="D34" s="360"/>
      <c r="E34" s="360"/>
      <c r="F34" s="360"/>
      <c r="G34" s="360"/>
      <c r="H34" s="360"/>
      <c r="I34" s="360"/>
      <c r="J34" s="360"/>
      <c r="K34" s="360"/>
      <c r="L34" s="360"/>
      <c r="M34" s="361"/>
    </row>
    <row r="35" spans="2:13" ht="13.95" customHeight="1" x14ac:dyDescent="0.5">
      <c r="B35" s="353"/>
      <c r="C35" s="360"/>
      <c r="D35" s="360"/>
      <c r="E35" s="360"/>
      <c r="F35" s="360"/>
      <c r="G35" s="360"/>
      <c r="H35" s="360"/>
      <c r="I35" s="360"/>
      <c r="J35" s="360"/>
      <c r="K35" s="360"/>
      <c r="L35" s="360"/>
      <c r="M35" s="361"/>
    </row>
    <row r="36" spans="2:13" ht="13.95" customHeight="1" x14ac:dyDescent="0.5">
      <c r="B36" s="353"/>
      <c r="C36" s="360"/>
      <c r="D36" s="360"/>
      <c r="E36" s="360"/>
      <c r="F36" s="360"/>
      <c r="G36" s="360"/>
      <c r="H36" s="360"/>
      <c r="I36" s="360"/>
      <c r="J36" s="360"/>
      <c r="K36" s="360"/>
      <c r="L36" s="360"/>
      <c r="M36" s="361"/>
    </row>
    <row r="37" spans="2:13" ht="13.95" customHeight="1" x14ac:dyDescent="0.5">
      <c r="B37" s="353"/>
      <c r="C37" s="360"/>
      <c r="D37" s="360"/>
      <c r="E37" s="360"/>
      <c r="F37" s="360"/>
      <c r="G37" s="360"/>
      <c r="H37" s="360"/>
      <c r="I37" s="360"/>
      <c r="J37" s="360"/>
      <c r="K37" s="360"/>
      <c r="L37" s="360"/>
      <c r="M37" s="361"/>
    </row>
    <row r="38" spans="2:13" ht="13.95" customHeight="1" x14ac:dyDescent="0.5">
      <c r="B38" s="322"/>
      <c r="C38" s="324"/>
      <c r="D38" s="324"/>
      <c r="E38" s="324"/>
      <c r="F38" s="324"/>
      <c r="G38" s="324"/>
      <c r="H38" s="324"/>
      <c r="I38" s="324"/>
      <c r="J38" s="324"/>
      <c r="K38" s="324"/>
      <c r="L38" s="324"/>
      <c r="M38" s="325"/>
    </row>
    <row r="39" spans="2:13" ht="13.95" customHeight="1" x14ac:dyDescent="0.5">
      <c r="B39" s="353" t="s">
        <v>154</v>
      </c>
      <c r="C39" s="360"/>
      <c r="D39" s="360"/>
      <c r="E39" s="360"/>
      <c r="F39" s="360"/>
      <c r="G39" s="360"/>
      <c r="H39" s="360"/>
      <c r="I39" s="360"/>
      <c r="J39" s="360"/>
      <c r="K39" s="360"/>
      <c r="L39" s="360"/>
      <c r="M39" s="361"/>
    </row>
    <row r="40" spans="2:13" ht="13.95" customHeight="1" x14ac:dyDescent="0.5">
      <c r="B40" s="353"/>
      <c r="C40" s="360"/>
      <c r="D40" s="360"/>
      <c r="E40" s="360"/>
      <c r="F40" s="360"/>
      <c r="G40" s="360"/>
      <c r="H40" s="360"/>
      <c r="I40" s="360"/>
      <c r="J40" s="360"/>
      <c r="K40" s="360"/>
      <c r="L40" s="360"/>
      <c r="M40" s="361"/>
    </row>
    <row r="41" spans="2:13" ht="13.95" customHeight="1" x14ac:dyDescent="0.5">
      <c r="B41" s="353"/>
      <c r="C41" s="360"/>
      <c r="D41" s="360"/>
      <c r="E41" s="360"/>
      <c r="F41" s="360"/>
      <c r="G41" s="360"/>
      <c r="H41" s="360"/>
      <c r="I41" s="360"/>
      <c r="J41" s="360"/>
      <c r="K41" s="360"/>
      <c r="L41" s="360"/>
      <c r="M41" s="361"/>
    </row>
    <row r="42" spans="2:13" ht="13.95" customHeight="1" x14ac:dyDescent="0.5">
      <c r="B42" s="353"/>
      <c r="C42" s="360"/>
      <c r="D42" s="360"/>
      <c r="E42" s="360"/>
      <c r="F42" s="360"/>
      <c r="G42" s="360"/>
      <c r="H42" s="360"/>
      <c r="I42" s="360"/>
      <c r="J42" s="360"/>
      <c r="K42" s="360"/>
      <c r="L42" s="360"/>
      <c r="M42" s="361"/>
    </row>
    <row r="43" spans="2:13" ht="13.95" customHeight="1" x14ac:dyDescent="0.5">
      <c r="B43" s="353"/>
      <c r="C43" s="360"/>
      <c r="D43" s="360"/>
      <c r="E43" s="360"/>
      <c r="F43" s="360"/>
      <c r="G43" s="360"/>
      <c r="H43" s="360"/>
      <c r="I43" s="360"/>
      <c r="J43" s="360"/>
      <c r="K43" s="360"/>
      <c r="L43" s="360"/>
      <c r="M43" s="361"/>
    </row>
    <row r="44" spans="2:13" ht="13.95" customHeight="1" x14ac:dyDescent="0.5">
      <c r="B44" s="353"/>
      <c r="C44" s="360"/>
      <c r="D44" s="360"/>
      <c r="E44" s="360"/>
      <c r="F44" s="360"/>
      <c r="G44" s="360"/>
      <c r="H44" s="360"/>
      <c r="I44" s="360"/>
      <c r="J44" s="360"/>
      <c r="K44" s="360"/>
      <c r="L44" s="360"/>
      <c r="M44" s="361"/>
    </row>
    <row r="45" spans="2:13" ht="13.95" customHeight="1" x14ac:dyDescent="0.5">
      <c r="B45" s="353"/>
      <c r="C45" s="360"/>
      <c r="D45" s="360"/>
      <c r="E45" s="360"/>
      <c r="F45" s="360"/>
      <c r="G45" s="360"/>
      <c r="H45" s="360"/>
      <c r="I45" s="360"/>
      <c r="J45" s="360"/>
      <c r="K45" s="360"/>
      <c r="L45" s="360"/>
      <c r="M45" s="361"/>
    </row>
    <row r="46" spans="2:13" ht="13.95" customHeight="1" x14ac:dyDescent="0.5">
      <c r="B46" s="353"/>
      <c r="C46" s="360"/>
      <c r="D46" s="360"/>
      <c r="E46" s="360"/>
      <c r="F46" s="360"/>
      <c r="G46" s="360"/>
      <c r="H46" s="360"/>
      <c r="I46" s="360"/>
      <c r="J46" s="360"/>
      <c r="K46" s="360"/>
      <c r="L46" s="360"/>
      <c r="M46" s="361"/>
    </row>
    <row r="47" spans="2:13" ht="13.95" customHeight="1" x14ac:dyDescent="0.5">
      <c r="B47" s="353"/>
      <c r="C47" s="360"/>
      <c r="D47" s="360"/>
      <c r="E47" s="360"/>
      <c r="F47" s="360"/>
      <c r="G47" s="360"/>
      <c r="H47" s="360"/>
      <c r="I47" s="360"/>
      <c r="J47" s="360"/>
      <c r="K47" s="360"/>
      <c r="L47" s="360"/>
      <c r="M47" s="361"/>
    </row>
    <row r="48" spans="2:13" ht="13.95" customHeight="1" x14ac:dyDescent="0.5">
      <c r="B48" s="322"/>
      <c r="C48" s="324"/>
      <c r="D48" s="324"/>
      <c r="E48" s="324"/>
      <c r="F48" s="324"/>
      <c r="G48" s="324"/>
      <c r="H48" s="324"/>
      <c r="I48" s="324"/>
      <c r="J48" s="324"/>
      <c r="K48" s="324"/>
      <c r="L48" s="324"/>
      <c r="M48" s="325"/>
    </row>
    <row r="49" spans="2:13" ht="13.95" customHeight="1" x14ac:dyDescent="0.5">
      <c r="B49" s="353" t="s">
        <v>155</v>
      </c>
      <c r="C49" s="360"/>
      <c r="D49" s="360"/>
      <c r="E49" s="360"/>
      <c r="F49" s="360"/>
      <c r="G49" s="360"/>
      <c r="H49" s="360"/>
      <c r="I49" s="360"/>
      <c r="J49" s="360"/>
      <c r="K49" s="360"/>
      <c r="L49" s="360"/>
      <c r="M49" s="361"/>
    </row>
    <row r="50" spans="2:13" ht="13.95" customHeight="1" x14ac:dyDescent="0.5">
      <c r="B50" s="353"/>
      <c r="C50" s="360"/>
      <c r="D50" s="360"/>
      <c r="E50" s="360"/>
      <c r="F50" s="360"/>
      <c r="G50" s="360"/>
      <c r="H50" s="360"/>
      <c r="I50" s="360"/>
      <c r="J50" s="360"/>
      <c r="K50" s="360"/>
      <c r="L50" s="360"/>
      <c r="M50" s="361"/>
    </row>
    <row r="51" spans="2:13" ht="13.95" customHeight="1" x14ac:dyDescent="0.5">
      <c r="B51" s="353"/>
      <c r="C51" s="360"/>
      <c r="D51" s="360"/>
      <c r="E51" s="360"/>
      <c r="F51" s="360"/>
      <c r="G51" s="360"/>
      <c r="H51" s="360"/>
      <c r="I51" s="360"/>
      <c r="J51" s="360"/>
      <c r="K51" s="360"/>
      <c r="L51" s="360"/>
      <c r="M51" s="361"/>
    </row>
    <row r="52" spans="2:13" ht="13.95" customHeight="1" x14ac:dyDescent="0.5">
      <c r="B52" s="353"/>
      <c r="C52" s="360"/>
      <c r="D52" s="360"/>
      <c r="E52" s="360"/>
      <c r="F52" s="360"/>
      <c r="G52" s="360"/>
      <c r="H52" s="360"/>
      <c r="I52" s="360"/>
      <c r="J52" s="360"/>
      <c r="K52" s="360"/>
      <c r="L52" s="360"/>
      <c r="M52" s="361"/>
    </row>
    <row r="53" spans="2:13" ht="13.95" customHeight="1" x14ac:dyDescent="0.5">
      <c r="B53" s="353"/>
      <c r="C53" s="360"/>
      <c r="D53" s="360"/>
      <c r="E53" s="360"/>
      <c r="F53" s="360"/>
      <c r="G53" s="360"/>
      <c r="H53" s="360"/>
      <c r="I53" s="360"/>
      <c r="J53" s="360"/>
      <c r="K53" s="360"/>
      <c r="L53" s="360"/>
      <c r="M53" s="361"/>
    </row>
    <row r="54" spans="2:13" ht="13.95" customHeight="1" x14ac:dyDescent="0.5">
      <c r="B54" s="353"/>
      <c r="C54" s="360"/>
      <c r="D54" s="360"/>
      <c r="E54" s="360"/>
      <c r="F54" s="360"/>
      <c r="G54" s="360"/>
      <c r="H54" s="360"/>
      <c r="I54" s="360"/>
      <c r="J54" s="360"/>
      <c r="K54" s="360"/>
      <c r="L54" s="360"/>
      <c r="M54" s="361"/>
    </row>
    <row r="55" spans="2:13" ht="13.95" customHeight="1" x14ac:dyDescent="0.5">
      <c r="B55" s="353"/>
      <c r="C55" s="360"/>
      <c r="D55" s="360"/>
      <c r="E55" s="360"/>
      <c r="F55" s="360"/>
      <c r="G55" s="360"/>
      <c r="H55" s="360"/>
      <c r="I55" s="360"/>
      <c r="J55" s="360"/>
      <c r="K55" s="360"/>
      <c r="L55" s="360"/>
      <c r="M55" s="361"/>
    </row>
    <row r="56" spans="2:13" ht="13.95" customHeight="1" x14ac:dyDescent="0.5">
      <c r="B56" s="353"/>
      <c r="C56" s="360"/>
      <c r="D56" s="360"/>
      <c r="E56" s="360"/>
      <c r="F56" s="360"/>
      <c r="G56" s="360"/>
      <c r="H56" s="360"/>
      <c r="I56" s="360"/>
      <c r="J56" s="360"/>
      <c r="K56" s="360"/>
      <c r="L56" s="360"/>
      <c r="M56" s="361"/>
    </row>
    <row r="57" spans="2:13" ht="13.95" customHeight="1" x14ac:dyDescent="0.5">
      <c r="B57" s="322"/>
      <c r="C57" s="324"/>
      <c r="D57" s="324"/>
      <c r="E57" s="324"/>
      <c r="F57" s="324"/>
      <c r="G57" s="324"/>
      <c r="H57" s="324"/>
      <c r="I57" s="324"/>
      <c r="J57" s="324"/>
      <c r="K57" s="324"/>
      <c r="L57" s="324"/>
      <c r="M57" s="325"/>
    </row>
    <row r="58" spans="2:13" ht="13.95" customHeight="1" x14ac:dyDescent="0.5">
      <c r="B58" s="353" t="s">
        <v>156</v>
      </c>
      <c r="C58" s="360"/>
      <c r="D58" s="360"/>
      <c r="E58" s="360"/>
      <c r="F58" s="360"/>
      <c r="G58" s="360"/>
      <c r="H58" s="360"/>
      <c r="I58" s="360"/>
      <c r="J58" s="360"/>
      <c r="K58" s="360"/>
      <c r="L58" s="360"/>
      <c r="M58" s="361"/>
    </row>
    <row r="59" spans="2:13" ht="13.95" customHeight="1" x14ac:dyDescent="0.5">
      <c r="B59" s="353"/>
      <c r="C59" s="360"/>
      <c r="D59" s="360"/>
      <c r="E59" s="360"/>
      <c r="F59" s="360"/>
      <c r="G59" s="360"/>
      <c r="H59" s="360"/>
      <c r="I59" s="360"/>
      <c r="J59" s="360"/>
      <c r="K59" s="360"/>
      <c r="L59" s="360"/>
      <c r="M59" s="361"/>
    </row>
    <row r="60" spans="2:13" ht="13.95" customHeight="1" x14ac:dyDescent="0.5">
      <c r="B60" s="353"/>
      <c r="C60" s="360"/>
      <c r="D60" s="360"/>
      <c r="E60" s="360"/>
      <c r="F60" s="360"/>
      <c r="G60" s="360"/>
      <c r="H60" s="360"/>
      <c r="I60" s="360"/>
      <c r="J60" s="360"/>
      <c r="K60" s="360"/>
      <c r="L60" s="360"/>
      <c r="M60" s="361"/>
    </row>
    <row r="61" spans="2:13" ht="13.95" customHeight="1" x14ac:dyDescent="0.5">
      <c r="B61" s="353"/>
      <c r="C61" s="360"/>
      <c r="D61" s="360"/>
      <c r="E61" s="360"/>
      <c r="F61" s="360"/>
      <c r="G61" s="360"/>
      <c r="H61" s="360"/>
      <c r="I61" s="360"/>
      <c r="J61" s="360"/>
      <c r="K61" s="360"/>
      <c r="L61" s="360"/>
      <c r="M61" s="361"/>
    </row>
    <row r="62" spans="2:13" ht="13.95" customHeight="1" x14ac:dyDescent="0.5">
      <c r="B62" s="353"/>
      <c r="C62" s="360"/>
      <c r="D62" s="360"/>
      <c r="E62" s="360"/>
      <c r="F62" s="360"/>
      <c r="G62" s="360"/>
      <c r="H62" s="360"/>
      <c r="I62" s="360"/>
      <c r="J62" s="360"/>
      <c r="K62" s="360"/>
      <c r="L62" s="360"/>
      <c r="M62" s="361"/>
    </row>
    <row r="63" spans="2:13" ht="13.95" customHeight="1" x14ac:dyDescent="0.5">
      <c r="B63" s="353"/>
      <c r="C63" s="360"/>
      <c r="D63" s="360"/>
      <c r="E63" s="360"/>
      <c r="F63" s="360"/>
      <c r="G63" s="360"/>
      <c r="H63" s="360"/>
      <c r="I63" s="360"/>
      <c r="J63" s="360"/>
      <c r="K63" s="360"/>
      <c r="L63" s="360"/>
      <c r="M63" s="361"/>
    </row>
    <row r="64" spans="2:13" ht="13.95" customHeight="1" x14ac:dyDescent="0.5">
      <c r="B64" s="353"/>
      <c r="C64" s="360"/>
      <c r="D64" s="360"/>
      <c r="E64" s="360"/>
      <c r="F64" s="360"/>
      <c r="G64" s="360"/>
      <c r="H64" s="360"/>
      <c r="I64" s="360"/>
      <c r="J64" s="360"/>
      <c r="K64" s="360"/>
      <c r="L64" s="360"/>
      <c r="M64" s="361"/>
    </row>
    <row r="65" spans="2:13" ht="13.95" customHeight="1" x14ac:dyDescent="0.5">
      <c r="B65" s="353"/>
      <c r="C65" s="360"/>
      <c r="D65" s="360"/>
      <c r="E65" s="360"/>
      <c r="F65" s="360"/>
      <c r="G65" s="360"/>
      <c r="H65" s="360"/>
      <c r="I65" s="360"/>
      <c r="J65" s="360"/>
      <c r="K65" s="360"/>
      <c r="L65" s="360"/>
      <c r="M65" s="361"/>
    </row>
    <row r="66" spans="2:13" ht="13.95" customHeight="1" x14ac:dyDescent="0.5">
      <c r="B66" s="353"/>
      <c r="C66" s="360"/>
      <c r="D66" s="360"/>
      <c r="E66" s="360"/>
      <c r="F66" s="360"/>
      <c r="G66" s="360"/>
      <c r="H66" s="360"/>
      <c r="I66" s="360"/>
      <c r="J66" s="360"/>
      <c r="K66" s="360"/>
      <c r="L66" s="360"/>
      <c r="M66" s="361"/>
    </row>
    <row r="67" spans="2:13" ht="13.95" customHeight="1" x14ac:dyDescent="0.5">
      <c r="B67" s="322"/>
      <c r="C67" s="324"/>
      <c r="D67" s="324"/>
      <c r="E67" s="324"/>
      <c r="F67" s="324"/>
      <c r="G67" s="324"/>
      <c r="H67" s="324"/>
      <c r="I67" s="324"/>
      <c r="J67" s="324"/>
      <c r="K67" s="324"/>
      <c r="L67" s="324"/>
      <c r="M67" s="325"/>
    </row>
    <row r="68" spans="2:13" ht="13.95" customHeight="1" x14ac:dyDescent="0.5">
      <c r="B68" s="353" t="s">
        <v>157</v>
      </c>
      <c r="C68" s="360"/>
      <c r="D68" s="360"/>
      <c r="E68" s="360"/>
      <c r="F68" s="360"/>
      <c r="G68" s="360"/>
      <c r="H68" s="360"/>
      <c r="I68" s="360"/>
      <c r="J68" s="360"/>
      <c r="K68" s="360"/>
      <c r="L68" s="360"/>
      <c r="M68" s="361"/>
    </row>
    <row r="69" spans="2:13" ht="13.95" customHeight="1" x14ac:dyDescent="0.5">
      <c r="B69" s="353"/>
      <c r="C69" s="360"/>
      <c r="D69" s="360"/>
      <c r="E69" s="360"/>
      <c r="F69" s="360"/>
      <c r="G69" s="360"/>
      <c r="H69" s="360"/>
      <c r="I69" s="360"/>
      <c r="J69" s="360"/>
      <c r="K69" s="360"/>
      <c r="L69" s="360"/>
      <c r="M69" s="361"/>
    </row>
    <row r="70" spans="2:13" ht="13.95" customHeight="1" x14ac:dyDescent="0.5">
      <c r="B70" s="353"/>
      <c r="C70" s="360"/>
      <c r="D70" s="360"/>
      <c r="E70" s="360"/>
      <c r="F70" s="360"/>
      <c r="G70" s="360"/>
      <c r="H70" s="360"/>
      <c r="I70" s="360"/>
      <c r="J70" s="360"/>
      <c r="K70" s="360"/>
      <c r="L70" s="360"/>
      <c r="M70" s="361"/>
    </row>
    <row r="71" spans="2:13" ht="13.95" customHeight="1" x14ac:dyDescent="0.5">
      <c r="B71" s="353"/>
      <c r="C71" s="360"/>
      <c r="D71" s="360"/>
      <c r="E71" s="360"/>
      <c r="F71" s="360"/>
      <c r="G71" s="360"/>
      <c r="H71" s="360"/>
      <c r="I71" s="360"/>
      <c r="J71" s="360"/>
      <c r="K71" s="360"/>
      <c r="L71" s="360"/>
      <c r="M71" s="361"/>
    </row>
    <row r="72" spans="2:13" ht="13.95" customHeight="1" x14ac:dyDescent="0.5">
      <c r="B72" s="353"/>
      <c r="C72" s="360"/>
      <c r="D72" s="360"/>
      <c r="E72" s="360"/>
      <c r="F72" s="360"/>
      <c r="G72" s="360"/>
      <c r="H72" s="360"/>
      <c r="I72" s="360"/>
      <c r="J72" s="360"/>
      <c r="K72" s="360"/>
      <c r="L72" s="360"/>
      <c r="M72" s="361"/>
    </row>
    <row r="73" spans="2:13" ht="13.95" customHeight="1" x14ac:dyDescent="0.5">
      <c r="B73" s="353"/>
      <c r="C73" s="360"/>
      <c r="D73" s="360"/>
      <c r="E73" s="360"/>
      <c r="F73" s="360"/>
      <c r="G73" s="360"/>
      <c r="H73" s="360"/>
      <c r="I73" s="360"/>
      <c r="J73" s="360"/>
      <c r="K73" s="360"/>
      <c r="L73" s="360"/>
      <c r="M73" s="361"/>
    </row>
    <row r="74" spans="2:13" ht="13.95" customHeight="1" x14ac:dyDescent="0.5">
      <c r="B74" s="353"/>
      <c r="C74" s="360"/>
      <c r="D74" s="360"/>
      <c r="E74" s="360"/>
      <c r="F74" s="360"/>
      <c r="G74" s="360"/>
      <c r="H74" s="360"/>
      <c r="I74" s="360"/>
      <c r="J74" s="360"/>
      <c r="K74" s="360"/>
      <c r="L74" s="360"/>
      <c r="M74" s="361"/>
    </row>
    <row r="75" spans="2:13" ht="13.95" customHeight="1" x14ac:dyDescent="0.5">
      <c r="B75" s="353"/>
      <c r="C75" s="360"/>
      <c r="D75" s="360"/>
      <c r="E75" s="360"/>
      <c r="F75" s="360"/>
      <c r="G75" s="360"/>
      <c r="H75" s="360"/>
      <c r="I75" s="360"/>
      <c r="J75" s="360"/>
      <c r="K75" s="360"/>
      <c r="L75" s="360"/>
      <c r="M75" s="361"/>
    </row>
    <row r="76" spans="2:13" ht="13.95" customHeight="1" x14ac:dyDescent="0.5">
      <c r="B76" s="322"/>
      <c r="C76" s="324"/>
      <c r="D76" s="324"/>
      <c r="E76" s="324"/>
      <c r="F76" s="324"/>
      <c r="G76" s="324"/>
      <c r="H76" s="324"/>
      <c r="I76" s="324"/>
      <c r="J76" s="324"/>
      <c r="K76" s="324"/>
      <c r="L76" s="324"/>
      <c r="M76" s="325"/>
    </row>
    <row r="77" spans="2:13" ht="13.95" customHeight="1" x14ac:dyDescent="0.5">
      <c r="B77" s="353" t="s">
        <v>167</v>
      </c>
      <c r="C77" s="360"/>
      <c r="D77" s="360"/>
      <c r="E77" s="360"/>
      <c r="F77" s="360"/>
      <c r="G77" s="360"/>
      <c r="H77" s="360"/>
      <c r="I77" s="360"/>
      <c r="J77" s="360"/>
      <c r="K77" s="360"/>
      <c r="L77" s="360"/>
      <c r="M77" s="361"/>
    </row>
    <row r="78" spans="2:13" ht="13.95" customHeight="1" x14ac:dyDescent="0.5">
      <c r="B78" s="353"/>
      <c r="C78" s="360"/>
      <c r="D78" s="360"/>
      <c r="E78" s="360"/>
      <c r="F78" s="360"/>
      <c r="G78" s="360"/>
      <c r="H78" s="360"/>
      <c r="I78" s="360"/>
      <c r="J78" s="360"/>
      <c r="K78" s="360"/>
      <c r="L78" s="360"/>
      <c r="M78" s="361"/>
    </row>
    <row r="79" spans="2:13" ht="13.95" customHeight="1" x14ac:dyDescent="0.5">
      <c r="B79" s="353"/>
      <c r="C79" s="360"/>
      <c r="D79" s="360"/>
      <c r="E79" s="360"/>
      <c r="F79" s="360"/>
      <c r="G79" s="360"/>
      <c r="H79" s="360"/>
      <c r="I79" s="360"/>
      <c r="J79" s="360"/>
      <c r="K79" s="360"/>
      <c r="L79" s="360"/>
      <c r="M79" s="361"/>
    </row>
    <row r="80" spans="2:13" ht="13.95" customHeight="1" x14ac:dyDescent="0.5">
      <c r="B80" s="353"/>
      <c r="C80" s="360"/>
      <c r="D80" s="360"/>
      <c r="E80" s="360"/>
      <c r="F80" s="360"/>
      <c r="G80" s="360"/>
      <c r="H80" s="360"/>
      <c r="I80" s="360"/>
      <c r="J80" s="360"/>
      <c r="K80" s="360"/>
      <c r="L80" s="360"/>
      <c r="M80" s="361"/>
    </row>
    <row r="81" spans="2:13" ht="13.95" customHeight="1" x14ac:dyDescent="0.5">
      <c r="B81" s="353"/>
      <c r="C81" s="360"/>
      <c r="D81" s="360"/>
      <c r="E81" s="360"/>
      <c r="F81" s="360"/>
      <c r="G81" s="360"/>
      <c r="H81" s="360"/>
      <c r="I81" s="360"/>
      <c r="J81" s="360"/>
      <c r="K81" s="360"/>
      <c r="L81" s="360"/>
      <c r="M81" s="361"/>
    </row>
    <row r="82" spans="2:13" ht="13.95" customHeight="1" x14ac:dyDescent="0.5">
      <c r="B82" s="353"/>
      <c r="C82" s="360"/>
      <c r="D82" s="360"/>
      <c r="E82" s="360"/>
      <c r="F82" s="360"/>
      <c r="G82" s="360"/>
      <c r="H82" s="360"/>
      <c r="I82" s="360"/>
      <c r="J82" s="360"/>
      <c r="K82" s="360"/>
      <c r="L82" s="360"/>
      <c r="M82" s="361"/>
    </row>
    <row r="83" spans="2:13" ht="13.95" customHeight="1" x14ac:dyDescent="0.5">
      <c r="B83" s="353"/>
      <c r="C83" s="360"/>
      <c r="D83" s="360"/>
      <c r="E83" s="360"/>
      <c r="F83" s="360"/>
      <c r="G83" s="360"/>
      <c r="H83" s="360"/>
      <c r="I83" s="360"/>
      <c r="J83" s="360"/>
      <c r="K83" s="360"/>
      <c r="L83" s="360"/>
      <c r="M83" s="361"/>
    </row>
    <row r="84" spans="2:13" ht="13.95" customHeight="1" x14ac:dyDescent="0.5">
      <c r="B84" s="353"/>
      <c r="C84" s="360"/>
      <c r="D84" s="360"/>
      <c r="E84" s="360"/>
      <c r="F84" s="360"/>
      <c r="G84" s="360"/>
      <c r="H84" s="360"/>
      <c r="I84" s="360"/>
      <c r="J84" s="360"/>
      <c r="K84" s="360"/>
      <c r="L84" s="360"/>
      <c r="M84" s="361"/>
    </row>
    <row r="85" spans="2:13" ht="13.95" customHeight="1" x14ac:dyDescent="0.5">
      <c r="B85" s="353"/>
      <c r="C85" s="360"/>
      <c r="D85" s="360"/>
      <c r="E85" s="360"/>
      <c r="F85" s="360"/>
      <c r="G85" s="360"/>
      <c r="H85" s="360"/>
      <c r="I85" s="360"/>
      <c r="J85" s="360"/>
      <c r="K85" s="360"/>
      <c r="L85" s="360"/>
      <c r="M85" s="361"/>
    </row>
    <row r="86" spans="2:13" ht="13.95" customHeight="1" x14ac:dyDescent="0.5">
      <c r="B86" s="353"/>
      <c r="C86" s="360"/>
      <c r="D86" s="360"/>
      <c r="E86" s="360"/>
      <c r="F86" s="360"/>
      <c r="G86" s="360"/>
      <c r="H86" s="360"/>
      <c r="I86" s="360"/>
      <c r="J86" s="360"/>
      <c r="K86" s="360"/>
      <c r="L86" s="360"/>
      <c r="M86" s="361"/>
    </row>
    <row r="87" spans="2:13" ht="13.95" customHeight="1" x14ac:dyDescent="0.5">
      <c r="B87" s="353"/>
      <c r="C87" s="360"/>
      <c r="D87" s="360"/>
      <c r="E87" s="360"/>
      <c r="F87" s="360"/>
      <c r="G87" s="360"/>
      <c r="H87" s="360"/>
      <c r="I87" s="360"/>
      <c r="J87" s="360"/>
      <c r="K87" s="360"/>
      <c r="L87" s="360"/>
      <c r="M87" s="361"/>
    </row>
    <row r="88" spans="2:13" ht="13.95" customHeight="1" x14ac:dyDescent="0.5">
      <c r="B88" s="353"/>
      <c r="C88" s="360"/>
      <c r="D88" s="360"/>
      <c r="E88" s="360"/>
      <c r="F88" s="360"/>
      <c r="G88" s="360"/>
      <c r="H88" s="360"/>
      <c r="I88" s="360"/>
      <c r="J88" s="360"/>
      <c r="K88" s="360"/>
      <c r="L88" s="360"/>
      <c r="M88" s="361"/>
    </row>
    <row r="89" spans="2:13" ht="13.95" customHeight="1" x14ac:dyDescent="0.5">
      <c r="B89" s="353"/>
      <c r="C89" s="360"/>
      <c r="D89" s="360"/>
      <c r="E89" s="360"/>
      <c r="F89" s="360"/>
      <c r="G89" s="360"/>
      <c r="H89" s="360"/>
      <c r="I89" s="360"/>
      <c r="J89" s="360"/>
      <c r="K89" s="360"/>
      <c r="L89" s="360"/>
      <c r="M89" s="361"/>
    </row>
    <row r="90" spans="2:13" ht="13.95" customHeight="1" x14ac:dyDescent="0.5">
      <c r="B90" s="353"/>
      <c r="C90" s="360"/>
      <c r="D90" s="360"/>
      <c r="E90" s="360"/>
      <c r="F90" s="360"/>
      <c r="G90" s="360"/>
      <c r="H90" s="360"/>
      <c r="I90" s="360"/>
      <c r="J90" s="360"/>
      <c r="K90" s="360"/>
      <c r="L90" s="360"/>
      <c r="M90" s="361"/>
    </row>
    <row r="91" spans="2:13" ht="13.95" customHeight="1" x14ac:dyDescent="0.5">
      <c r="B91" s="353"/>
      <c r="C91" s="360"/>
      <c r="D91" s="360"/>
      <c r="E91" s="360"/>
      <c r="F91" s="360"/>
      <c r="G91" s="360"/>
      <c r="H91" s="360"/>
      <c r="I91" s="360"/>
      <c r="J91" s="360"/>
      <c r="K91" s="360"/>
      <c r="L91" s="360"/>
      <c r="M91" s="361"/>
    </row>
    <row r="92" spans="2:13" ht="13.95" customHeight="1" x14ac:dyDescent="0.5">
      <c r="B92" s="353"/>
      <c r="C92" s="360"/>
      <c r="D92" s="360"/>
      <c r="E92" s="360"/>
      <c r="F92" s="360"/>
      <c r="G92" s="360"/>
      <c r="H92" s="360"/>
      <c r="I92" s="360"/>
      <c r="J92" s="360"/>
      <c r="K92" s="360"/>
      <c r="L92" s="360"/>
      <c r="M92" s="361"/>
    </row>
    <row r="93" spans="2:13" ht="13.95" customHeight="1" x14ac:dyDescent="0.5">
      <c r="B93" s="353"/>
      <c r="C93" s="360"/>
      <c r="D93" s="360"/>
      <c r="E93" s="360"/>
      <c r="F93" s="360"/>
      <c r="G93" s="360"/>
      <c r="H93" s="360"/>
      <c r="I93" s="360"/>
      <c r="J93" s="360"/>
      <c r="K93" s="360"/>
      <c r="L93" s="360"/>
      <c r="M93" s="361"/>
    </row>
    <row r="94" spans="2:13" ht="13.95" customHeight="1" x14ac:dyDescent="0.5">
      <c r="B94" s="353"/>
      <c r="C94" s="360"/>
      <c r="D94" s="360"/>
      <c r="E94" s="360"/>
      <c r="F94" s="360"/>
      <c r="G94" s="360"/>
      <c r="H94" s="360"/>
      <c r="I94" s="360"/>
      <c r="J94" s="360"/>
      <c r="K94" s="360"/>
      <c r="L94" s="360"/>
      <c r="M94" s="361"/>
    </row>
    <row r="95" spans="2:13" ht="13.95" customHeight="1" x14ac:dyDescent="0.5">
      <c r="B95" s="322"/>
      <c r="C95" s="324"/>
      <c r="D95" s="324"/>
      <c r="E95" s="324"/>
      <c r="F95" s="324"/>
      <c r="G95" s="324"/>
      <c r="H95" s="324"/>
      <c r="I95" s="324"/>
      <c r="J95" s="324"/>
      <c r="K95" s="324"/>
      <c r="L95" s="324"/>
      <c r="M95" s="325"/>
    </row>
    <row r="96" spans="2:13" ht="13.95" customHeight="1" x14ac:dyDescent="0.5">
      <c r="B96" s="322"/>
      <c r="C96" s="324"/>
      <c r="D96" s="324"/>
      <c r="E96" s="324"/>
      <c r="F96" s="324"/>
      <c r="G96" s="324"/>
      <c r="H96" s="324"/>
      <c r="I96" s="324"/>
      <c r="J96" s="324"/>
      <c r="K96" s="324"/>
      <c r="L96" s="324"/>
      <c r="M96" s="325"/>
    </row>
    <row r="97" spans="2:13" ht="13.95" customHeight="1" x14ac:dyDescent="0.5">
      <c r="B97" s="322"/>
      <c r="C97" s="324"/>
      <c r="D97" s="324"/>
      <c r="E97" s="324"/>
      <c r="F97" s="324"/>
      <c r="G97" s="324"/>
      <c r="H97" s="324"/>
      <c r="I97" s="324"/>
      <c r="J97" s="324"/>
      <c r="K97" s="324"/>
      <c r="L97" s="324"/>
      <c r="M97" s="325"/>
    </row>
    <row r="98" spans="2:13" ht="13.95" customHeight="1" x14ac:dyDescent="0.5">
      <c r="B98" s="322"/>
      <c r="C98" s="324"/>
      <c r="D98" s="324"/>
      <c r="E98" s="324"/>
      <c r="F98" s="324"/>
      <c r="G98" s="324"/>
      <c r="H98" s="324"/>
      <c r="I98" s="324"/>
      <c r="J98" s="324"/>
      <c r="K98" s="324"/>
      <c r="L98" s="324"/>
      <c r="M98" s="325"/>
    </row>
    <row r="99" spans="2:13" ht="13.95" customHeight="1" x14ac:dyDescent="0.5">
      <c r="B99" s="322"/>
      <c r="C99" s="324"/>
      <c r="D99" s="324"/>
      <c r="E99" s="324"/>
      <c r="F99" s="324"/>
      <c r="G99" s="324"/>
      <c r="H99" s="324"/>
      <c r="I99" s="324"/>
      <c r="J99" s="324"/>
      <c r="K99" s="324"/>
      <c r="L99" s="324"/>
      <c r="M99" s="325"/>
    </row>
    <row r="100" spans="2:13" ht="13.95" customHeight="1" x14ac:dyDescent="0.5">
      <c r="B100" s="322"/>
      <c r="C100" s="324"/>
      <c r="D100" s="324"/>
      <c r="E100" s="324"/>
      <c r="F100" s="324"/>
      <c r="G100" s="324"/>
      <c r="H100" s="324"/>
      <c r="I100" s="324"/>
      <c r="J100" s="324"/>
      <c r="K100" s="324"/>
      <c r="L100" s="324"/>
      <c r="M100" s="325"/>
    </row>
    <row r="101" spans="2:13" ht="13.95" customHeight="1" x14ac:dyDescent="0.5">
      <c r="B101" s="322"/>
      <c r="C101" s="324"/>
      <c r="D101" s="324"/>
      <c r="E101" s="324"/>
      <c r="F101" s="324"/>
      <c r="G101" s="324"/>
      <c r="H101" s="324"/>
      <c r="I101" s="324"/>
      <c r="J101" s="324"/>
      <c r="K101" s="324"/>
      <c r="L101" s="324"/>
      <c r="M101" s="325"/>
    </row>
    <row r="102" spans="2:13" ht="13.95" customHeight="1" x14ac:dyDescent="0.5">
      <c r="B102" s="322"/>
      <c r="C102" s="324"/>
      <c r="D102" s="324"/>
      <c r="E102" s="324"/>
      <c r="F102" s="324"/>
      <c r="G102" s="324"/>
      <c r="H102" s="324"/>
      <c r="I102" s="324"/>
      <c r="J102" s="324"/>
      <c r="K102" s="324"/>
      <c r="L102" s="324"/>
      <c r="M102" s="325"/>
    </row>
    <row r="103" spans="2:13" ht="13.95" customHeight="1" x14ac:dyDescent="0.5">
      <c r="B103" s="322"/>
      <c r="C103" s="324"/>
      <c r="D103" s="324"/>
      <c r="E103" s="324"/>
      <c r="F103" s="324"/>
      <c r="G103" s="324"/>
      <c r="H103" s="324"/>
      <c r="I103" s="324"/>
      <c r="J103" s="324"/>
      <c r="K103" s="324"/>
      <c r="L103" s="324"/>
      <c r="M103" s="325"/>
    </row>
    <row r="104" spans="2:13" ht="13.95" customHeight="1" x14ac:dyDescent="0.5">
      <c r="B104" s="322"/>
      <c r="C104" s="324"/>
      <c r="D104" s="324"/>
      <c r="E104" s="324"/>
      <c r="F104" s="324"/>
      <c r="G104" s="324"/>
      <c r="H104" s="324"/>
      <c r="I104" s="324"/>
      <c r="J104" s="324"/>
      <c r="K104" s="324"/>
      <c r="L104" s="324"/>
      <c r="M104" s="325"/>
    </row>
    <row r="105" spans="2:13" ht="13.95" customHeight="1" x14ac:dyDescent="0.5">
      <c r="B105" s="322"/>
      <c r="C105" s="324"/>
      <c r="D105" s="324"/>
      <c r="E105" s="324"/>
      <c r="F105" s="324"/>
      <c r="G105" s="324"/>
      <c r="H105" s="324"/>
      <c r="I105" s="324"/>
      <c r="J105" s="324"/>
      <c r="K105" s="324"/>
      <c r="L105" s="324"/>
      <c r="M105" s="325"/>
    </row>
    <row r="106" spans="2:13" ht="13.95" customHeight="1" x14ac:dyDescent="0.5">
      <c r="B106" s="322"/>
      <c r="C106" s="324"/>
      <c r="D106" s="324"/>
      <c r="E106" s="324"/>
      <c r="F106" s="324"/>
      <c r="G106" s="324"/>
      <c r="H106" s="324"/>
      <c r="I106" s="324"/>
      <c r="J106" s="324"/>
      <c r="K106" s="324"/>
      <c r="L106" s="324"/>
      <c r="M106" s="325"/>
    </row>
    <row r="107" spans="2:13" ht="13.95" customHeight="1" x14ac:dyDescent="0.5">
      <c r="B107" s="322"/>
      <c r="C107" s="324"/>
      <c r="D107" s="324"/>
      <c r="E107" s="324"/>
      <c r="F107" s="324"/>
      <c r="G107" s="324"/>
      <c r="H107" s="324"/>
      <c r="I107" s="324"/>
      <c r="J107" s="324"/>
      <c r="K107" s="324"/>
      <c r="L107" s="324"/>
      <c r="M107" s="325"/>
    </row>
    <row r="108" spans="2:13" ht="13.95" customHeight="1" x14ac:dyDescent="0.5">
      <c r="B108" s="322"/>
      <c r="C108" s="324"/>
      <c r="D108" s="324"/>
      <c r="E108" s="324"/>
      <c r="F108" s="324"/>
      <c r="G108" s="324"/>
      <c r="H108" s="324"/>
      <c r="I108" s="324"/>
      <c r="J108" s="324"/>
      <c r="K108" s="324"/>
      <c r="L108" s="324"/>
      <c r="M108" s="325"/>
    </row>
    <row r="109" spans="2:13" ht="13.95" customHeight="1" x14ac:dyDescent="0.5">
      <c r="B109" s="322"/>
      <c r="C109" s="324"/>
      <c r="D109" s="324"/>
      <c r="E109" s="324"/>
      <c r="F109" s="324"/>
      <c r="G109" s="324"/>
      <c r="H109" s="324"/>
      <c r="I109" s="324"/>
      <c r="J109" s="324"/>
      <c r="K109" s="324"/>
      <c r="L109" s="324"/>
      <c r="M109" s="325"/>
    </row>
    <row r="110" spans="2:13" ht="13.95" customHeight="1" x14ac:dyDescent="0.5">
      <c r="B110" s="322"/>
      <c r="C110" s="324"/>
      <c r="D110" s="324"/>
      <c r="E110" s="324"/>
      <c r="F110" s="324"/>
      <c r="G110" s="324"/>
      <c r="H110" s="324"/>
      <c r="I110" s="324"/>
      <c r="J110" s="324"/>
      <c r="K110" s="324"/>
      <c r="L110" s="324"/>
      <c r="M110" s="325"/>
    </row>
    <row r="111" spans="2:13" ht="13.95" customHeight="1" x14ac:dyDescent="0.5">
      <c r="B111" s="322"/>
      <c r="C111" s="324"/>
      <c r="D111" s="324"/>
      <c r="E111" s="324"/>
      <c r="F111" s="324"/>
      <c r="G111" s="324"/>
      <c r="H111" s="324"/>
      <c r="I111" s="324"/>
      <c r="J111" s="324"/>
      <c r="K111" s="324"/>
      <c r="L111" s="324"/>
      <c r="M111" s="325"/>
    </row>
    <row r="112" spans="2:13" ht="13.95" customHeight="1" thickBot="1" x14ac:dyDescent="0.55000000000000004">
      <c r="B112" s="326"/>
      <c r="C112" s="327"/>
      <c r="D112" s="327"/>
      <c r="E112" s="327"/>
      <c r="F112" s="327"/>
      <c r="G112" s="327"/>
      <c r="H112" s="327"/>
      <c r="I112" s="327"/>
      <c r="J112" s="327"/>
      <c r="K112" s="327"/>
      <c r="L112" s="327"/>
      <c r="M112" s="328"/>
    </row>
    <row r="113" spans="2:13" ht="13.95" customHeight="1" x14ac:dyDescent="0.5">
      <c r="B113" s="323"/>
      <c r="C113" s="323"/>
      <c r="D113" s="323"/>
      <c r="E113" s="323"/>
      <c r="F113" s="323"/>
      <c r="G113" s="323"/>
      <c r="H113" s="323"/>
      <c r="I113" s="323"/>
      <c r="J113" s="323"/>
      <c r="K113" s="323"/>
      <c r="L113" s="323"/>
      <c r="M113" s="323"/>
    </row>
    <row r="114" spans="2:13" ht="13.95" customHeight="1" x14ac:dyDescent="0.5">
      <c r="B114" s="323"/>
      <c r="C114" s="323"/>
      <c r="D114" s="323"/>
      <c r="E114" s="323"/>
      <c r="F114" s="323"/>
      <c r="G114" s="323"/>
      <c r="H114" s="323"/>
      <c r="I114" s="323"/>
      <c r="J114" s="323"/>
      <c r="K114" s="323"/>
      <c r="L114" s="323"/>
      <c r="M114" s="323"/>
    </row>
    <row r="115" spans="2:13" ht="13.95" customHeight="1" x14ac:dyDescent="0.5">
      <c r="B115" s="323"/>
      <c r="C115" s="323"/>
      <c r="D115" s="323"/>
      <c r="E115" s="323"/>
      <c r="F115" s="323"/>
      <c r="G115" s="323"/>
      <c r="H115" s="323"/>
      <c r="I115" s="323"/>
      <c r="J115" s="323"/>
      <c r="K115" s="323"/>
      <c r="L115" s="323"/>
      <c r="M115" s="323"/>
    </row>
    <row r="116" spans="2:13" ht="13.95" customHeight="1" x14ac:dyDescent="0.5">
      <c r="B116" s="323"/>
      <c r="C116" s="323"/>
      <c r="D116" s="323"/>
      <c r="E116" s="323"/>
      <c r="F116" s="323"/>
      <c r="G116" s="323"/>
      <c r="H116" s="323"/>
      <c r="I116" s="323"/>
      <c r="J116" s="323"/>
      <c r="K116" s="323"/>
      <c r="L116" s="323"/>
      <c r="M116" s="323"/>
    </row>
    <row r="117" spans="2:13" ht="13.95" customHeight="1" x14ac:dyDescent="0.5">
      <c r="B117" s="323"/>
      <c r="C117" s="323"/>
      <c r="D117" s="323"/>
      <c r="E117" s="323"/>
      <c r="F117" s="323"/>
      <c r="G117" s="323"/>
      <c r="H117" s="323"/>
      <c r="I117" s="323"/>
      <c r="J117" s="323"/>
      <c r="K117" s="323"/>
      <c r="L117" s="323"/>
      <c r="M117" s="323"/>
    </row>
    <row r="118" spans="2:13" ht="13.95" customHeight="1" x14ac:dyDescent="0.5">
      <c r="B118" s="323"/>
      <c r="C118" s="323"/>
      <c r="D118" s="323"/>
      <c r="E118" s="323"/>
      <c r="F118" s="323"/>
      <c r="G118" s="323"/>
      <c r="H118" s="323"/>
      <c r="I118" s="323"/>
      <c r="J118" s="323"/>
      <c r="K118" s="323"/>
      <c r="L118" s="323"/>
      <c r="M118" s="323"/>
    </row>
    <row r="119" spans="2:13" ht="13.95" customHeight="1" x14ac:dyDescent="0.5">
      <c r="B119" s="323"/>
      <c r="C119" s="323"/>
      <c r="D119" s="323"/>
      <c r="E119" s="323"/>
      <c r="F119" s="323"/>
      <c r="G119" s="323"/>
      <c r="H119" s="323"/>
      <c r="I119" s="323"/>
      <c r="J119" s="323"/>
      <c r="K119" s="323"/>
      <c r="L119" s="323"/>
      <c r="M119" s="323"/>
    </row>
    <row r="120" spans="2:13" ht="13.95" customHeight="1" x14ac:dyDescent="0.5">
      <c r="B120" s="323"/>
      <c r="C120" s="323"/>
      <c r="D120" s="323"/>
      <c r="E120" s="323"/>
      <c r="F120" s="323"/>
      <c r="G120" s="323"/>
      <c r="H120" s="323"/>
      <c r="I120" s="323"/>
      <c r="J120" s="323"/>
      <c r="K120" s="323"/>
      <c r="L120" s="323"/>
      <c r="M120" s="323"/>
    </row>
    <row r="121" spans="2:13" ht="13.95" customHeight="1" x14ac:dyDescent="0.5">
      <c r="B121" s="323"/>
      <c r="C121" s="323"/>
      <c r="D121" s="323"/>
      <c r="E121" s="323"/>
      <c r="F121" s="323"/>
      <c r="G121" s="323"/>
      <c r="H121" s="323"/>
      <c r="I121" s="323"/>
      <c r="J121" s="323"/>
      <c r="K121" s="323"/>
      <c r="L121" s="323"/>
      <c r="M121" s="323"/>
    </row>
    <row r="122" spans="2:13" ht="13.95" customHeight="1" x14ac:dyDescent="0.5">
      <c r="B122" s="323"/>
      <c r="C122" s="323"/>
      <c r="D122" s="323"/>
      <c r="E122" s="323"/>
      <c r="F122" s="323"/>
      <c r="G122" s="323"/>
      <c r="H122" s="323"/>
      <c r="I122" s="323"/>
      <c r="J122" s="323"/>
      <c r="K122" s="323"/>
      <c r="L122" s="323"/>
      <c r="M122" s="323"/>
    </row>
    <row r="123" spans="2:13" ht="13.95" customHeight="1" x14ac:dyDescent="0.5">
      <c r="B123" s="323"/>
      <c r="C123" s="323"/>
      <c r="D123" s="323"/>
      <c r="E123" s="323"/>
      <c r="F123" s="323"/>
      <c r="G123" s="323"/>
      <c r="H123" s="323"/>
      <c r="I123" s="323"/>
      <c r="J123" s="323"/>
      <c r="K123" s="323"/>
      <c r="L123" s="323"/>
      <c r="M123" s="323"/>
    </row>
    <row r="124" spans="2:13" ht="13.95" customHeight="1" x14ac:dyDescent="0.5">
      <c r="B124" s="323"/>
      <c r="C124" s="323"/>
      <c r="D124" s="323"/>
      <c r="E124" s="323"/>
      <c r="F124" s="323"/>
      <c r="G124" s="323"/>
      <c r="H124" s="323"/>
      <c r="I124" s="323"/>
      <c r="J124" s="323"/>
      <c r="K124" s="323"/>
      <c r="L124" s="323"/>
      <c r="M124" s="323"/>
    </row>
    <row r="125" spans="2:13" ht="13.95" customHeight="1" x14ac:dyDescent="0.5">
      <c r="B125" s="323"/>
      <c r="C125" s="323"/>
      <c r="D125" s="323"/>
      <c r="E125" s="323"/>
      <c r="F125" s="323"/>
      <c r="G125" s="323"/>
      <c r="H125" s="323"/>
      <c r="I125" s="323"/>
      <c r="J125" s="323"/>
      <c r="K125" s="323"/>
      <c r="L125" s="323"/>
      <c r="M125" s="323"/>
    </row>
    <row r="126" spans="2:13" ht="13.95" customHeight="1" x14ac:dyDescent="0.5">
      <c r="B126" s="323"/>
      <c r="C126" s="323"/>
      <c r="D126" s="323"/>
      <c r="E126" s="323"/>
      <c r="F126" s="323"/>
      <c r="G126" s="323"/>
      <c r="H126" s="323"/>
      <c r="I126" s="323"/>
      <c r="J126" s="323"/>
      <c r="K126" s="323"/>
      <c r="L126" s="323"/>
      <c r="M126" s="323"/>
    </row>
    <row r="127" spans="2:13" ht="13.95" customHeight="1" x14ac:dyDescent="0.5">
      <c r="B127" s="323"/>
      <c r="C127" s="323"/>
      <c r="D127" s="323"/>
      <c r="E127" s="323"/>
      <c r="F127" s="323"/>
      <c r="G127" s="323"/>
      <c r="H127" s="323"/>
      <c r="I127" s="323"/>
      <c r="J127" s="323"/>
      <c r="K127" s="323"/>
      <c r="L127" s="323"/>
      <c r="M127" s="323"/>
    </row>
    <row r="128" spans="2:13" ht="13.95" customHeight="1" x14ac:dyDescent="0.5">
      <c r="B128" s="323"/>
      <c r="C128" s="323"/>
      <c r="D128" s="323"/>
      <c r="E128" s="323"/>
      <c r="F128" s="323"/>
      <c r="G128" s="323"/>
      <c r="H128" s="323"/>
      <c r="I128" s="323"/>
      <c r="J128" s="323"/>
      <c r="K128" s="323"/>
      <c r="L128" s="323"/>
      <c r="M128" s="323"/>
    </row>
    <row r="129" spans="2:13" ht="13.95" customHeight="1" x14ac:dyDescent="0.5">
      <c r="B129" s="323"/>
      <c r="C129" s="323"/>
      <c r="D129" s="323"/>
      <c r="E129" s="323"/>
      <c r="F129" s="323"/>
      <c r="G129" s="323"/>
      <c r="H129" s="323"/>
      <c r="I129" s="323"/>
      <c r="J129" s="323"/>
      <c r="K129" s="323"/>
      <c r="L129" s="323"/>
      <c r="M129" s="323"/>
    </row>
    <row r="130" spans="2:13" ht="13.95" customHeight="1" x14ac:dyDescent="0.5">
      <c r="B130" s="323"/>
      <c r="C130" s="323"/>
      <c r="D130" s="323"/>
      <c r="E130" s="323"/>
      <c r="F130" s="323"/>
      <c r="G130" s="323"/>
      <c r="H130" s="323"/>
      <c r="I130" s="323"/>
      <c r="J130" s="323"/>
      <c r="K130" s="323"/>
      <c r="L130" s="323"/>
      <c r="M130" s="323"/>
    </row>
    <row r="131" spans="2:13" ht="13.95" customHeight="1" x14ac:dyDescent="0.5">
      <c r="B131" s="323"/>
      <c r="C131" s="323"/>
      <c r="D131" s="323"/>
      <c r="E131" s="323"/>
      <c r="F131" s="323"/>
      <c r="G131" s="323"/>
      <c r="H131" s="323"/>
      <c r="I131" s="323"/>
      <c r="J131" s="323"/>
      <c r="K131" s="323"/>
      <c r="L131" s="323"/>
      <c r="M131" s="323"/>
    </row>
    <row r="132" spans="2:13" ht="13.95" customHeight="1" x14ac:dyDescent="0.5">
      <c r="B132" s="323"/>
      <c r="C132" s="323"/>
      <c r="D132" s="323"/>
      <c r="E132" s="323"/>
      <c r="F132" s="323"/>
      <c r="G132" s="323"/>
      <c r="H132" s="323"/>
      <c r="I132" s="323"/>
      <c r="J132" s="323"/>
      <c r="K132" s="323"/>
      <c r="L132" s="323"/>
      <c r="M132" s="323"/>
    </row>
    <row r="133" spans="2:13" ht="13.95" customHeight="1" x14ac:dyDescent="0.5">
      <c r="B133" s="323"/>
      <c r="C133" s="323"/>
      <c r="D133" s="323"/>
      <c r="E133" s="323"/>
      <c r="F133" s="323"/>
      <c r="G133" s="323"/>
      <c r="H133" s="323"/>
      <c r="I133" s="323"/>
      <c r="J133" s="323"/>
      <c r="K133" s="323"/>
      <c r="L133" s="323"/>
      <c r="M133" s="323"/>
    </row>
    <row r="134" spans="2:13" ht="13.95" customHeight="1" x14ac:dyDescent="0.5">
      <c r="B134" s="323"/>
      <c r="C134" s="323"/>
      <c r="D134" s="323"/>
      <c r="E134" s="323"/>
      <c r="F134" s="323"/>
      <c r="G134" s="323"/>
      <c r="H134" s="323"/>
      <c r="I134" s="323"/>
      <c r="J134" s="323"/>
      <c r="K134" s="323"/>
      <c r="L134" s="323"/>
      <c r="M134" s="323"/>
    </row>
    <row r="135" spans="2:13" ht="13.95" customHeight="1" x14ac:dyDescent="0.5">
      <c r="B135" s="323"/>
      <c r="C135" s="323"/>
      <c r="D135" s="323"/>
      <c r="E135" s="323"/>
      <c r="F135" s="323"/>
      <c r="G135" s="323"/>
      <c r="H135" s="323"/>
      <c r="I135" s="323"/>
      <c r="J135" s="323"/>
      <c r="K135" s="323"/>
      <c r="L135" s="323"/>
      <c r="M135" s="323"/>
    </row>
    <row r="136" spans="2:13" ht="13.95" customHeight="1" x14ac:dyDescent="0.5">
      <c r="B136" s="323"/>
      <c r="C136" s="323"/>
      <c r="D136" s="323"/>
      <c r="E136" s="323"/>
      <c r="F136" s="323"/>
      <c r="G136" s="323"/>
      <c r="H136" s="323"/>
      <c r="I136" s="323"/>
      <c r="J136" s="323"/>
      <c r="K136" s="323"/>
      <c r="L136" s="323"/>
      <c r="M136" s="323"/>
    </row>
    <row r="137" spans="2:13" ht="13.95" customHeight="1" x14ac:dyDescent="0.5">
      <c r="B137" s="323"/>
      <c r="C137" s="323"/>
      <c r="D137" s="323"/>
      <c r="E137" s="323"/>
      <c r="F137" s="323"/>
      <c r="G137" s="323"/>
      <c r="H137" s="323"/>
      <c r="I137" s="323"/>
      <c r="J137" s="323"/>
      <c r="K137" s="323"/>
      <c r="L137" s="323"/>
      <c r="M137" s="323"/>
    </row>
    <row r="138" spans="2:13" ht="13.95" customHeight="1" x14ac:dyDescent="0.5">
      <c r="B138" s="323"/>
      <c r="C138" s="323"/>
      <c r="D138" s="323"/>
      <c r="E138" s="323"/>
      <c r="F138" s="323"/>
      <c r="G138" s="323"/>
      <c r="H138" s="323"/>
      <c r="I138" s="323"/>
      <c r="J138" s="323"/>
      <c r="K138" s="323"/>
      <c r="L138" s="323"/>
      <c r="M138" s="323"/>
    </row>
    <row r="139" spans="2:13" ht="13.95" customHeight="1" x14ac:dyDescent="0.5">
      <c r="B139" s="323"/>
      <c r="C139" s="323"/>
      <c r="D139" s="323"/>
      <c r="E139" s="323"/>
      <c r="F139" s="323"/>
      <c r="G139" s="323"/>
      <c r="H139" s="323"/>
      <c r="I139" s="323"/>
      <c r="J139" s="323"/>
      <c r="K139" s="323"/>
      <c r="L139" s="323"/>
      <c r="M139" s="323"/>
    </row>
    <row r="140" spans="2:13" ht="13.95" customHeight="1" x14ac:dyDescent="0.5">
      <c r="B140" s="323"/>
      <c r="C140" s="323"/>
      <c r="D140" s="323"/>
      <c r="E140" s="323"/>
      <c r="F140" s="323"/>
      <c r="G140" s="323"/>
      <c r="H140" s="323"/>
      <c r="I140" s="323"/>
      <c r="J140" s="323"/>
      <c r="K140" s="323"/>
      <c r="L140" s="323"/>
      <c r="M140" s="323"/>
    </row>
    <row r="141" spans="2:13" ht="13.95" customHeight="1" x14ac:dyDescent="0.5">
      <c r="B141" s="323"/>
      <c r="C141" s="323"/>
      <c r="D141" s="323"/>
      <c r="E141" s="323"/>
      <c r="F141" s="323"/>
      <c r="G141" s="323"/>
      <c r="H141" s="323"/>
      <c r="I141" s="323"/>
      <c r="J141" s="323"/>
      <c r="K141" s="323"/>
      <c r="L141" s="323"/>
      <c r="M141" s="323"/>
    </row>
    <row r="142" spans="2:13" ht="13.95" customHeight="1" x14ac:dyDescent="0.5">
      <c r="B142" s="323"/>
      <c r="C142" s="323"/>
      <c r="D142" s="323"/>
      <c r="E142" s="323"/>
      <c r="F142" s="323"/>
      <c r="G142" s="323"/>
      <c r="H142" s="323"/>
      <c r="I142" s="323"/>
      <c r="J142" s="323"/>
      <c r="K142" s="323"/>
      <c r="L142" s="323"/>
      <c r="M142" s="323"/>
    </row>
    <row r="143" spans="2:13" ht="13.95" customHeight="1" x14ac:dyDescent="0.5">
      <c r="B143" s="323"/>
      <c r="C143" s="323"/>
      <c r="D143" s="323"/>
      <c r="E143" s="323"/>
      <c r="F143" s="323"/>
      <c r="G143" s="323"/>
      <c r="H143" s="323"/>
      <c r="I143" s="323"/>
      <c r="J143" s="323"/>
      <c r="K143" s="323"/>
      <c r="L143" s="323"/>
      <c r="M143" s="323"/>
    </row>
    <row r="144" spans="2:13" ht="13.95" customHeight="1" x14ac:dyDescent="0.5">
      <c r="B144" s="323"/>
      <c r="C144" s="323"/>
      <c r="D144" s="323"/>
      <c r="E144" s="323"/>
      <c r="F144" s="323"/>
      <c r="G144" s="323"/>
      <c r="H144" s="323"/>
      <c r="I144" s="323"/>
      <c r="J144" s="323"/>
      <c r="K144" s="323"/>
      <c r="L144" s="323"/>
      <c r="M144" s="323"/>
    </row>
    <row r="145" spans="2:13" ht="13.95" customHeight="1" x14ac:dyDescent="0.5">
      <c r="B145" s="323"/>
      <c r="C145" s="323"/>
      <c r="D145" s="323"/>
      <c r="E145" s="323"/>
      <c r="F145" s="323"/>
      <c r="G145" s="323"/>
      <c r="H145" s="323"/>
      <c r="I145" s="323"/>
      <c r="J145" s="323"/>
      <c r="K145" s="323"/>
      <c r="L145" s="323"/>
      <c r="M145" s="323"/>
    </row>
    <row r="146" spans="2:13" ht="13.95" customHeight="1" x14ac:dyDescent="0.5">
      <c r="B146" s="323"/>
      <c r="C146" s="323"/>
      <c r="D146" s="323"/>
      <c r="E146" s="323"/>
      <c r="F146" s="323"/>
      <c r="G146" s="323"/>
      <c r="H146" s="323"/>
      <c r="I146" s="323"/>
      <c r="J146" s="323"/>
      <c r="K146" s="323"/>
      <c r="L146" s="323"/>
      <c r="M146" s="323"/>
    </row>
    <row r="147" spans="2:13" ht="13.95" customHeight="1" x14ac:dyDescent="0.5">
      <c r="B147" s="323"/>
      <c r="C147" s="323"/>
      <c r="D147" s="323"/>
      <c r="E147" s="323"/>
      <c r="F147" s="323"/>
      <c r="G147" s="323"/>
      <c r="H147" s="323"/>
      <c r="I147" s="323"/>
      <c r="J147" s="323"/>
      <c r="K147" s="323"/>
      <c r="L147" s="323"/>
      <c r="M147" s="323"/>
    </row>
    <row r="148" spans="2:13" ht="13.95" customHeight="1" x14ac:dyDescent="0.5">
      <c r="B148" s="323"/>
      <c r="C148" s="323"/>
      <c r="D148" s="323"/>
      <c r="E148" s="323"/>
      <c r="F148" s="323"/>
      <c r="G148" s="323"/>
      <c r="H148" s="323"/>
      <c r="I148" s="323"/>
      <c r="J148" s="323"/>
      <c r="K148" s="323"/>
      <c r="L148" s="323"/>
      <c r="M148" s="323"/>
    </row>
    <row r="149" spans="2:13" ht="13.95" customHeight="1" x14ac:dyDescent="0.5">
      <c r="B149" s="323"/>
      <c r="C149" s="323"/>
      <c r="D149" s="323"/>
      <c r="E149" s="323"/>
      <c r="F149" s="323"/>
      <c r="G149" s="323"/>
      <c r="H149" s="323"/>
      <c r="I149" s="323"/>
      <c r="J149" s="323"/>
      <c r="K149" s="323"/>
      <c r="L149" s="323"/>
      <c r="M149" s="323"/>
    </row>
    <row r="150" spans="2:13" ht="13.95" customHeight="1" x14ac:dyDescent="0.5">
      <c r="B150" s="323"/>
      <c r="C150" s="323"/>
      <c r="D150" s="323"/>
      <c r="E150" s="323"/>
      <c r="F150" s="323"/>
      <c r="G150" s="323"/>
      <c r="H150" s="323"/>
      <c r="I150" s="323"/>
      <c r="J150" s="323"/>
      <c r="K150" s="323"/>
      <c r="L150" s="323"/>
      <c r="M150" s="323"/>
    </row>
    <row r="151" spans="2:13" ht="13.95" customHeight="1" x14ac:dyDescent="0.5">
      <c r="B151" s="323"/>
      <c r="C151" s="323"/>
      <c r="D151" s="323"/>
      <c r="E151" s="323"/>
      <c r="F151" s="323"/>
      <c r="G151" s="323"/>
      <c r="H151" s="323"/>
      <c r="I151" s="323"/>
      <c r="J151" s="323"/>
      <c r="K151" s="323"/>
      <c r="L151" s="323"/>
      <c r="M151" s="323"/>
    </row>
    <row r="152" spans="2:13" ht="13.95" customHeight="1" x14ac:dyDescent="0.5">
      <c r="B152" s="323"/>
      <c r="C152" s="323"/>
      <c r="D152" s="323"/>
      <c r="E152" s="323"/>
      <c r="F152" s="323"/>
      <c r="G152" s="323"/>
      <c r="H152" s="323"/>
      <c r="I152" s="323"/>
      <c r="J152" s="323"/>
      <c r="K152" s="323"/>
      <c r="L152" s="323"/>
      <c r="M152" s="323"/>
    </row>
    <row r="153" spans="2:13" ht="13.95" customHeight="1" x14ac:dyDescent="0.5">
      <c r="B153" s="323"/>
      <c r="C153" s="323"/>
      <c r="D153" s="323"/>
      <c r="E153" s="323"/>
      <c r="F153" s="323"/>
      <c r="G153" s="323"/>
      <c r="H153" s="323"/>
      <c r="I153" s="323"/>
      <c r="J153" s="323"/>
      <c r="K153" s="323"/>
      <c r="L153" s="323"/>
      <c r="M153" s="323"/>
    </row>
    <row r="154" spans="2:13" ht="13.95" customHeight="1" x14ac:dyDescent="0.5"/>
    <row r="155" spans="2:13" ht="13.95" customHeight="1" x14ac:dyDescent="0.5"/>
    <row r="156" spans="2:13" ht="13.95" customHeight="1" x14ac:dyDescent="0.5"/>
    <row r="157" spans="2:13" ht="13.95" customHeight="1" x14ac:dyDescent="0.5"/>
    <row r="158" spans="2:13" ht="13.95" customHeight="1" x14ac:dyDescent="0.5"/>
    <row r="159" spans="2:13" ht="13.95" customHeight="1" x14ac:dyDescent="0.5"/>
    <row r="160" spans="2:13" ht="13.95" customHeight="1" x14ac:dyDescent="0.5"/>
    <row r="161" ht="13.95" customHeight="1" x14ac:dyDescent="0.5"/>
    <row r="162" ht="13.95" customHeight="1" x14ac:dyDescent="0.5"/>
  </sheetData>
  <mergeCells count="9">
    <mergeCell ref="B58:M66"/>
    <mergeCell ref="B5:M9"/>
    <mergeCell ref="B68:M75"/>
    <mergeCell ref="B77:M94"/>
    <mergeCell ref="B14:M18"/>
    <mergeCell ref="B20:M31"/>
    <mergeCell ref="B33:M37"/>
    <mergeCell ref="B39:M47"/>
    <mergeCell ref="B49:M56"/>
  </mergeCells>
  <phoneticPr fontId="32" type="noConversion"/>
  <pageMargins left="0.7" right="0.7" top="0.75" bottom="0.75" header="0.3" footer="0.3"/>
  <pageSetup scale="75" orientation="portrait" horizontalDpi="4294967293" verticalDpi="4294967293"/>
  <colBreaks count="1" manualBreakCount="1">
    <brk id="13"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zoomScale="90" zoomScaleNormal="90" zoomScalePageLayoutView="90" workbookViewId="0">
      <selection activeCell="G31" sqref="G31"/>
    </sheetView>
  </sheetViews>
  <sheetFormatPr defaultColWidth="11.41015625" defaultRowHeight="14.35" x14ac:dyDescent="0.5"/>
  <cols>
    <col min="1" max="1" width="3.76171875" style="291" customWidth="1"/>
    <col min="2" max="2" width="2.76171875" style="291" customWidth="1"/>
    <col min="3" max="3" width="28.64453125" style="291" customWidth="1"/>
    <col min="4" max="4" width="25.64453125" style="291" customWidth="1"/>
    <col min="5" max="5" width="62.1171875" style="291" customWidth="1"/>
    <col min="6" max="6" width="25.3515625" style="291" customWidth="1"/>
    <col min="7" max="7" width="59.41015625" style="291" customWidth="1"/>
    <col min="8" max="8" width="76.64453125" style="291" customWidth="1"/>
    <col min="9" max="16384" width="11.41015625" style="291"/>
  </cols>
  <sheetData>
    <row r="1" spans="1:8" s="292" customFormat="1" ht="18" x14ac:dyDescent="0.6">
      <c r="A1" s="292" t="s">
        <v>158</v>
      </c>
    </row>
    <row r="3" spans="1:8" ht="14.7" thickBot="1" x14ac:dyDescent="0.55000000000000004"/>
    <row r="4" spans="1:8" ht="15.7" x14ac:dyDescent="0.55000000000000004">
      <c r="B4" s="80" t="s">
        <v>159</v>
      </c>
      <c r="C4" s="81"/>
      <c r="D4" s="81" t="s">
        <v>96</v>
      </c>
      <c r="E4" s="81" t="s">
        <v>136</v>
      </c>
      <c r="F4" s="81" t="s">
        <v>129</v>
      </c>
      <c r="G4" s="81" t="s">
        <v>135</v>
      </c>
      <c r="H4" s="82" t="s">
        <v>97</v>
      </c>
    </row>
    <row r="5" spans="1:8" ht="15.7" x14ac:dyDescent="0.55000000000000004">
      <c r="B5" s="330" t="s">
        <v>160</v>
      </c>
      <c r="C5" s="332"/>
      <c r="D5" s="332"/>
      <c r="E5" s="332"/>
      <c r="F5" s="332"/>
      <c r="G5" s="332"/>
      <c r="H5" s="339"/>
    </row>
    <row r="6" spans="1:8" ht="191.6" customHeight="1" x14ac:dyDescent="0.5">
      <c r="B6" s="367" t="s">
        <v>52</v>
      </c>
      <c r="C6" s="368"/>
      <c r="D6" s="333" t="s">
        <v>98</v>
      </c>
      <c r="E6" s="333" t="s">
        <v>161</v>
      </c>
      <c r="F6" s="333" t="s">
        <v>132</v>
      </c>
      <c r="G6" s="333" t="s">
        <v>162</v>
      </c>
      <c r="H6" s="340" t="s">
        <v>128</v>
      </c>
    </row>
    <row r="7" spans="1:8" ht="88.2" customHeight="1" x14ac:dyDescent="0.55000000000000004">
      <c r="B7" s="341" t="s">
        <v>99</v>
      </c>
      <c r="C7" s="336"/>
      <c r="D7" s="333" t="s">
        <v>134</v>
      </c>
      <c r="E7" s="333" t="s">
        <v>163</v>
      </c>
      <c r="F7" s="333" t="s">
        <v>130</v>
      </c>
      <c r="G7" s="333" t="s">
        <v>164</v>
      </c>
      <c r="H7" s="342"/>
    </row>
    <row r="8" spans="1:8" ht="252" customHeight="1" x14ac:dyDescent="0.5">
      <c r="B8" s="341" t="s">
        <v>5</v>
      </c>
      <c r="C8" s="335"/>
      <c r="D8" s="333" t="s">
        <v>100</v>
      </c>
      <c r="E8" s="333" t="s">
        <v>144</v>
      </c>
      <c r="F8" s="333" t="s">
        <v>132</v>
      </c>
      <c r="G8" s="365" t="s">
        <v>165</v>
      </c>
      <c r="H8" s="369" t="s">
        <v>166</v>
      </c>
    </row>
    <row r="9" spans="1:8" ht="87" customHeight="1" x14ac:dyDescent="0.5">
      <c r="B9" s="341" t="s">
        <v>6</v>
      </c>
      <c r="C9" s="335"/>
      <c r="D9" s="333" t="s">
        <v>118</v>
      </c>
      <c r="E9" s="333" t="s">
        <v>137</v>
      </c>
      <c r="F9" s="333" t="s">
        <v>130</v>
      </c>
      <c r="G9" s="366"/>
      <c r="H9" s="370"/>
    </row>
    <row r="10" spans="1:8" ht="15.7" x14ac:dyDescent="0.5">
      <c r="B10" s="331" t="s">
        <v>22</v>
      </c>
      <c r="C10" s="334"/>
      <c r="D10" s="334"/>
      <c r="E10" s="334"/>
      <c r="F10" s="334"/>
      <c r="G10" s="334"/>
      <c r="H10" s="343"/>
    </row>
    <row r="11" spans="1:8" ht="69" customHeight="1" x14ac:dyDescent="0.55000000000000004">
      <c r="B11" s="341" t="s">
        <v>101</v>
      </c>
      <c r="C11" s="337"/>
      <c r="D11" s="333" t="s">
        <v>114</v>
      </c>
      <c r="E11" s="365" t="s">
        <v>169</v>
      </c>
      <c r="F11" s="366" t="s">
        <v>130</v>
      </c>
      <c r="G11" s="362" t="s">
        <v>170</v>
      </c>
      <c r="H11" s="371"/>
    </row>
    <row r="12" spans="1:8" ht="69" customHeight="1" x14ac:dyDescent="0.55000000000000004">
      <c r="B12" s="341" t="s">
        <v>102</v>
      </c>
      <c r="C12" s="337"/>
      <c r="D12" s="333" t="s">
        <v>115</v>
      </c>
      <c r="E12" s="366"/>
      <c r="F12" s="366"/>
      <c r="G12" s="363"/>
      <c r="H12" s="371"/>
    </row>
    <row r="13" spans="1:8" ht="69" customHeight="1" x14ac:dyDescent="0.5">
      <c r="B13" s="341" t="s">
        <v>46</v>
      </c>
      <c r="C13" s="335"/>
      <c r="D13" s="333" t="s">
        <v>116</v>
      </c>
      <c r="E13" s="366"/>
      <c r="F13" s="366"/>
      <c r="G13" s="363"/>
      <c r="H13" s="371"/>
    </row>
    <row r="14" spans="1:8" ht="69" customHeight="1" x14ac:dyDescent="0.5">
      <c r="B14" s="341" t="s">
        <v>8</v>
      </c>
      <c r="C14" s="335"/>
      <c r="D14" s="333" t="s">
        <v>117</v>
      </c>
      <c r="E14" s="366"/>
      <c r="F14" s="366"/>
      <c r="G14" s="364"/>
      <c r="H14" s="371"/>
    </row>
    <row r="15" spans="1:8" ht="15.7" x14ac:dyDescent="0.55000000000000004">
      <c r="B15" s="330" t="s">
        <v>23</v>
      </c>
      <c r="C15" s="332"/>
      <c r="D15" s="332"/>
      <c r="E15" s="332"/>
      <c r="F15" s="332"/>
      <c r="G15" s="332"/>
      <c r="H15" s="339"/>
    </row>
    <row r="16" spans="1:8" ht="96" customHeight="1" x14ac:dyDescent="0.5">
      <c r="B16" s="341" t="s">
        <v>45</v>
      </c>
      <c r="C16" s="335"/>
      <c r="D16" s="333" t="s">
        <v>119</v>
      </c>
      <c r="E16" s="365" t="s">
        <v>168</v>
      </c>
      <c r="F16" s="366" t="s">
        <v>132</v>
      </c>
      <c r="G16" s="362" t="s">
        <v>173</v>
      </c>
      <c r="H16" s="371"/>
    </row>
    <row r="17" spans="2:8" ht="96" customHeight="1" x14ac:dyDescent="0.5">
      <c r="B17" s="341" t="s">
        <v>9</v>
      </c>
      <c r="C17" s="335"/>
      <c r="D17" s="333" t="s">
        <v>120</v>
      </c>
      <c r="E17" s="366"/>
      <c r="F17" s="366"/>
      <c r="G17" s="364"/>
      <c r="H17" s="371"/>
    </row>
    <row r="18" spans="2:8" ht="15.7" x14ac:dyDescent="0.55000000000000004">
      <c r="B18" s="330" t="s">
        <v>10</v>
      </c>
      <c r="C18" s="332"/>
      <c r="D18" s="332"/>
      <c r="E18" s="332"/>
      <c r="F18" s="332"/>
      <c r="G18" s="332"/>
      <c r="H18" s="339"/>
    </row>
    <row r="19" spans="2:8" ht="121.95" customHeight="1" x14ac:dyDescent="0.5">
      <c r="B19" s="341" t="s">
        <v>49</v>
      </c>
      <c r="C19" s="336"/>
      <c r="D19" s="333" t="s">
        <v>121</v>
      </c>
      <c r="E19" s="366" t="s">
        <v>138</v>
      </c>
      <c r="F19" s="366" t="s">
        <v>132</v>
      </c>
      <c r="G19" s="365" t="s">
        <v>175</v>
      </c>
      <c r="H19" s="371"/>
    </row>
    <row r="20" spans="2:8" ht="121.95" customHeight="1" x14ac:dyDescent="0.5">
      <c r="B20" s="341" t="s">
        <v>50</v>
      </c>
      <c r="C20" s="336"/>
      <c r="D20" s="333" t="s">
        <v>122</v>
      </c>
      <c r="E20" s="366"/>
      <c r="F20" s="366"/>
      <c r="G20" s="366"/>
      <c r="H20" s="371"/>
    </row>
    <row r="21" spans="2:8" ht="15.7" x14ac:dyDescent="0.55000000000000004">
      <c r="B21" s="330" t="s">
        <v>12</v>
      </c>
      <c r="C21" s="332"/>
      <c r="D21" s="332"/>
      <c r="E21" s="332"/>
      <c r="F21" s="332"/>
      <c r="G21" s="332"/>
      <c r="H21" s="339"/>
    </row>
    <row r="22" spans="2:8" ht="241.1" customHeight="1" x14ac:dyDescent="0.55000000000000004">
      <c r="B22" s="341" t="s">
        <v>13</v>
      </c>
      <c r="C22" s="335"/>
      <c r="D22" s="333" t="s">
        <v>123</v>
      </c>
      <c r="E22" s="338" t="s">
        <v>146</v>
      </c>
      <c r="F22" s="333" t="s">
        <v>132</v>
      </c>
      <c r="G22" s="344" t="s">
        <v>171</v>
      </c>
      <c r="H22" s="342"/>
    </row>
    <row r="23" spans="2:8" ht="15.7" x14ac:dyDescent="0.55000000000000004">
      <c r="B23" s="330" t="s">
        <v>14</v>
      </c>
      <c r="C23" s="332"/>
      <c r="D23" s="332"/>
      <c r="E23" s="332"/>
      <c r="F23" s="332"/>
      <c r="G23" s="332"/>
      <c r="H23" s="339"/>
    </row>
    <row r="24" spans="2:8" ht="61.95" customHeight="1" x14ac:dyDescent="0.5">
      <c r="B24" s="341" t="s">
        <v>15</v>
      </c>
      <c r="C24" s="335"/>
      <c r="D24" s="333" t="s">
        <v>131</v>
      </c>
      <c r="E24" s="366" t="s">
        <v>147</v>
      </c>
      <c r="F24" s="366" t="s">
        <v>130</v>
      </c>
      <c r="G24" s="365" t="s">
        <v>174</v>
      </c>
      <c r="H24" s="371"/>
    </row>
    <row r="25" spans="2:8" ht="61.95" customHeight="1" x14ac:dyDescent="0.5">
      <c r="B25" s="341" t="s">
        <v>16</v>
      </c>
      <c r="C25" s="335"/>
      <c r="D25" s="333" t="s">
        <v>124</v>
      </c>
      <c r="E25" s="366"/>
      <c r="F25" s="366"/>
      <c r="G25" s="366"/>
      <c r="H25" s="371"/>
    </row>
    <row r="26" spans="2:8" ht="61.95" customHeight="1" x14ac:dyDescent="0.5">
      <c r="B26" s="341" t="s">
        <v>17</v>
      </c>
      <c r="C26" s="335"/>
      <c r="D26" s="333" t="s">
        <v>125</v>
      </c>
      <c r="E26" s="366"/>
      <c r="F26" s="366"/>
      <c r="G26" s="366"/>
      <c r="H26" s="371"/>
    </row>
    <row r="27" spans="2:8" ht="61.95" customHeight="1" x14ac:dyDescent="0.5">
      <c r="B27" s="341" t="s">
        <v>18</v>
      </c>
      <c r="C27" s="335"/>
      <c r="D27" s="333" t="s">
        <v>18</v>
      </c>
      <c r="E27" s="366"/>
      <c r="F27" s="366"/>
      <c r="G27" s="366"/>
      <c r="H27" s="371"/>
    </row>
    <row r="28" spans="2:8" ht="15.7" x14ac:dyDescent="0.55000000000000004">
      <c r="B28" s="330" t="s">
        <v>19</v>
      </c>
      <c r="C28" s="332"/>
      <c r="D28" s="332"/>
      <c r="E28" s="332"/>
      <c r="F28" s="332"/>
      <c r="G28" s="332"/>
      <c r="H28" s="339"/>
    </row>
    <row r="29" spans="2:8" ht="48" customHeight="1" x14ac:dyDescent="0.55000000000000004">
      <c r="B29" s="341" t="s">
        <v>19</v>
      </c>
      <c r="C29" s="335"/>
      <c r="D29" s="333" t="s">
        <v>19</v>
      </c>
      <c r="E29" s="333" t="s">
        <v>139</v>
      </c>
      <c r="F29" s="333" t="s">
        <v>132</v>
      </c>
      <c r="G29" s="333" t="s">
        <v>145</v>
      </c>
      <c r="H29" s="342"/>
    </row>
    <row r="30" spans="2:8" ht="15.7" x14ac:dyDescent="0.55000000000000004">
      <c r="B30" s="330" t="s">
        <v>25</v>
      </c>
      <c r="C30" s="332"/>
      <c r="D30" s="332"/>
      <c r="E30" s="332"/>
      <c r="F30" s="332"/>
      <c r="G30" s="332"/>
      <c r="H30" s="339"/>
    </row>
    <row r="31" spans="2:8" ht="124.95" customHeight="1" x14ac:dyDescent="0.55000000000000004">
      <c r="B31" s="341" t="s">
        <v>25</v>
      </c>
      <c r="C31" s="335"/>
      <c r="D31" s="333" t="s">
        <v>141</v>
      </c>
      <c r="E31" s="333" t="s">
        <v>140</v>
      </c>
      <c r="F31" s="333" t="s">
        <v>130</v>
      </c>
      <c r="G31" s="345" t="s">
        <v>177</v>
      </c>
      <c r="H31" s="342"/>
    </row>
    <row r="32" spans="2:8" ht="15.7" x14ac:dyDescent="0.55000000000000004">
      <c r="B32" s="330" t="s">
        <v>4</v>
      </c>
      <c r="C32" s="332"/>
      <c r="D32" s="332"/>
      <c r="E32" s="332"/>
      <c r="F32" s="332"/>
      <c r="G32" s="332"/>
      <c r="H32" s="339"/>
    </row>
    <row r="33" spans="2:8" ht="57" customHeight="1" x14ac:dyDescent="0.5">
      <c r="B33" s="341" t="s">
        <v>20</v>
      </c>
      <c r="C33" s="335"/>
      <c r="D33" s="333" t="s">
        <v>133</v>
      </c>
      <c r="E33" s="365" t="s">
        <v>172</v>
      </c>
      <c r="F33" s="366" t="s">
        <v>130</v>
      </c>
      <c r="G33" s="362" t="s">
        <v>176</v>
      </c>
      <c r="H33" s="371"/>
    </row>
    <row r="34" spans="2:8" ht="57" customHeight="1" x14ac:dyDescent="0.5">
      <c r="B34" s="341" t="s">
        <v>11</v>
      </c>
      <c r="C34" s="335"/>
      <c r="D34" s="333" t="s">
        <v>126</v>
      </c>
      <c r="E34" s="366"/>
      <c r="F34" s="366"/>
      <c r="G34" s="363"/>
      <c r="H34" s="371"/>
    </row>
    <row r="35" spans="2:8" ht="57" customHeight="1" x14ac:dyDescent="0.5">
      <c r="B35" s="341" t="s">
        <v>55</v>
      </c>
      <c r="C35" s="335"/>
      <c r="D35" s="333" t="s">
        <v>127</v>
      </c>
      <c r="E35" s="366"/>
      <c r="F35" s="366"/>
      <c r="G35" s="364"/>
      <c r="H35" s="371"/>
    </row>
  </sheetData>
  <mergeCells count="23">
    <mergeCell ref="B6:C6"/>
    <mergeCell ref="H8:H9"/>
    <mergeCell ref="G8:G9"/>
    <mergeCell ref="H33:H35"/>
    <mergeCell ref="G24:G27"/>
    <mergeCell ref="H24:H27"/>
    <mergeCell ref="H11:H14"/>
    <mergeCell ref="G16:G17"/>
    <mergeCell ref="H16:H17"/>
    <mergeCell ref="G19:G20"/>
    <mergeCell ref="H19:H20"/>
    <mergeCell ref="E33:E35"/>
    <mergeCell ref="F33:F35"/>
    <mergeCell ref="E19:E20"/>
    <mergeCell ref="F19:F20"/>
    <mergeCell ref="G11:G14"/>
    <mergeCell ref="G33:G35"/>
    <mergeCell ref="E11:E14"/>
    <mergeCell ref="F11:F14"/>
    <mergeCell ref="E16:E17"/>
    <mergeCell ref="F16:F17"/>
    <mergeCell ref="E24:E27"/>
    <mergeCell ref="F24:F27"/>
  </mergeCells>
  <hyperlinks>
    <hyperlink ref="H6" r:id="rId1" display="https://www.pizzatoday.com/departments/front-of-the-house/customization-nation/" xr:uid="{00000000-0004-0000-0200-000000000000}"/>
    <hyperlink ref="H8" r:id="rId2" xr:uid="{00000000-0004-0000-0200-000001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B2"/>
  <sheetViews>
    <sheetView showGridLines="0" workbookViewId="0"/>
  </sheetViews>
  <sheetFormatPr defaultColWidth="8.76171875" defaultRowHeight="14.35" x14ac:dyDescent="0.5"/>
  <cols>
    <col min="1" max="1" width="2.64453125" customWidth="1"/>
  </cols>
  <sheetData>
    <row r="2" spans="2:2" x14ac:dyDescent="0.5">
      <c r="B2" t="s">
        <v>110</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O113"/>
  <sheetViews>
    <sheetView showGridLines="0" workbookViewId="0">
      <selection activeCell="H9" sqref="H9"/>
    </sheetView>
  </sheetViews>
  <sheetFormatPr defaultColWidth="10.41015625" defaultRowHeight="14.35" x14ac:dyDescent="0.5"/>
  <cols>
    <col min="1" max="3" width="2.3515625" customWidth="1"/>
    <col min="6" max="6" width="11.41015625" bestFit="1" customWidth="1"/>
    <col min="7" max="7" width="11.41015625" customWidth="1"/>
    <col min="11" max="11" width="5.41015625" customWidth="1"/>
  </cols>
  <sheetData>
    <row r="1" spans="1:14" s="30" customFormat="1" ht="18" x14ac:dyDescent="0.6">
      <c r="A1" s="30" t="s">
        <v>78</v>
      </c>
    </row>
    <row r="2" spans="1:14" x14ac:dyDescent="0.5">
      <c r="H2" s="96"/>
      <c r="I2" s="96"/>
      <c r="L2" s="96"/>
      <c r="M2" s="96"/>
      <c r="N2" s="96"/>
    </row>
    <row r="3" spans="1:14" ht="15.7" x14ac:dyDescent="0.55000000000000004">
      <c r="B3" s="46" t="s">
        <v>86</v>
      </c>
      <c r="C3" s="46"/>
      <c r="D3" s="46"/>
      <c r="E3" s="46"/>
      <c r="F3" s="46"/>
      <c r="G3" s="46"/>
      <c r="H3" s="46"/>
      <c r="I3" s="46"/>
      <c r="J3" s="46"/>
      <c r="L3" s="46" t="s">
        <v>85</v>
      </c>
      <c r="M3" s="46"/>
      <c r="N3" s="46"/>
    </row>
    <row r="4" spans="1:14" s="55" customFormat="1" ht="17.7" x14ac:dyDescent="0.85">
      <c r="B4" s="223"/>
      <c r="C4" s="223"/>
      <c r="D4" s="223"/>
      <c r="E4" s="223"/>
      <c r="F4" s="223"/>
      <c r="G4" s="223"/>
      <c r="H4" s="223"/>
      <c r="I4" s="224" t="s">
        <v>84</v>
      </c>
      <c r="J4" s="224" t="s">
        <v>87</v>
      </c>
      <c r="L4" s="227" t="s">
        <v>104</v>
      </c>
      <c r="M4" s="228"/>
      <c r="N4" s="228"/>
    </row>
    <row r="5" spans="1:14" s="36" customFormat="1" x14ac:dyDescent="0.5">
      <c r="B5" s="111"/>
      <c r="C5" s="111"/>
      <c r="D5" s="111"/>
      <c r="E5" s="111"/>
      <c r="F5" s="111"/>
      <c r="G5" s="111"/>
      <c r="H5" s="215" t="s">
        <v>83</v>
      </c>
      <c r="I5" s="215" t="str">
        <f ca="1">IF(OFFSET(K5,0,'National Results'!$N$5)=0,"",OFFSET(K5,0,'National Results'!$N$5))</f>
        <v/>
      </c>
      <c r="J5" s="215" t="str">
        <f ca="1">IF(OFFSET(K5,0,'NYC Results'!$N$6)=0,"",OFFSET(K5,0,'NYC Results'!$N$6))</f>
        <v/>
      </c>
      <c r="L5" s="215"/>
      <c r="M5" s="215" t="s">
        <v>80</v>
      </c>
      <c r="N5" s="215" t="s">
        <v>82</v>
      </c>
    </row>
    <row r="6" spans="1:14" s="36" customFormat="1" ht="14.7" thickBot="1" x14ac:dyDescent="0.55000000000000004">
      <c r="B6" s="39"/>
      <c r="C6" s="39"/>
      <c r="D6" s="39"/>
      <c r="E6" s="39"/>
      <c r="F6" s="39"/>
      <c r="G6" s="39"/>
      <c r="H6" s="40" t="s">
        <v>79</v>
      </c>
      <c r="I6" s="40" t="str">
        <f ca="1">OFFSET(K6,0,'National Results'!$N$5)</f>
        <v>All Units</v>
      </c>
      <c r="J6" s="40" t="str">
        <f ca="1">OFFSET(K6,0,'NYC Results'!$N$6)</f>
        <v>All Units</v>
      </c>
      <c r="L6" s="40" t="s">
        <v>113</v>
      </c>
      <c r="M6" s="40" t="s">
        <v>81</v>
      </c>
      <c r="N6" s="40" t="s">
        <v>81</v>
      </c>
    </row>
    <row r="7" spans="1:14" s="1" customFormat="1" x14ac:dyDescent="0.5">
      <c r="B7" s="7" t="s">
        <v>21</v>
      </c>
      <c r="C7" s="8"/>
      <c r="D7" s="8"/>
      <c r="E7" s="9"/>
      <c r="F7" s="9"/>
      <c r="G7" s="9"/>
      <c r="H7" s="54"/>
      <c r="I7" s="54"/>
      <c r="J7" s="54"/>
      <c r="L7" s="54"/>
      <c r="M7" s="54"/>
      <c r="N7" s="54"/>
    </row>
    <row r="8" spans="1:14" s="1" customFormat="1" x14ac:dyDescent="0.5">
      <c r="B8" s="94" t="s">
        <v>59</v>
      </c>
      <c r="C8" s="56"/>
      <c r="D8" s="56"/>
      <c r="E8" s="55"/>
      <c r="F8" s="55"/>
      <c r="G8" s="55"/>
      <c r="H8" s="97"/>
      <c r="I8" s="97"/>
      <c r="J8" s="97"/>
      <c r="L8" s="97"/>
      <c r="M8" s="97"/>
      <c r="N8" s="97"/>
    </row>
    <row r="9" spans="1:14" s="1" customFormat="1" x14ac:dyDescent="0.5">
      <c r="B9" s="2"/>
      <c r="C9" s="1" t="s">
        <v>52</v>
      </c>
      <c r="H9" s="221">
        <v>1400</v>
      </c>
      <c r="I9" s="99">
        <f ca="1">OFFSET(K9,0,'National Results'!$N$5)*H9</f>
        <v>1400</v>
      </c>
      <c r="J9" s="99">
        <f ca="1">OFFSET(K9,0,'NYC Results'!$N$6)*H9</f>
        <v>1400</v>
      </c>
      <c r="L9" s="220">
        <f>SUM(M9:N9)</f>
        <v>1</v>
      </c>
      <c r="M9" s="220">
        <v>0</v>
      </c>
      <c r="N9" s="220">
        <v>1</v>
      </c>
    </row>
    <row r="10" spans="1:14" s="1" customFormat="1" x14ac:dyDescent="0.5">
      <c r="B10" s="2"/>
      <c r="C10" s="1" t="s">
        <v>4</v>
      </c>
      <c r="H10" s="221">
        <v>2356</v>
      </c>
      <c r="I10" s="99">
        <f ca="1">OFFSET(K10,0,'National Results'!$N$5)*H10</f>
        <v>2356</v>
      </c>
      <c r="J10" s="99">
        <f ca="1">OFFSET(K10,0,'NYC Results'!$N$6)*H10</f>
        <v>2356</v>
      </c>
      <c r="L10" s="220">
        <f t="shared" ref="L10:L12" si="0">SUM(M10:N10)</f>
        <v>1</v>
      </c>
      <c r="M10" s="220">
        <v>0.24</v>
      </c>
      <c r="N10" s="220">
        <v>0.76</v>
      </c>
    </row>
    <row r="11" spans="1:14" s="1" customFormat="1" x14ac:dyDescent="0.5">
      <c r="B11" s="2" t="s">
        <v>5</v>
      </c>
      <c r="E11" s="2"/>
      <c r="F11" s="2"/>
      <c r="G11" s="2"/>
      <c r="H11" s="221">
        <v>13282</v>
      </c>
      <c r="I11" s="99">
        <f ca="1">OFFSET(K11,0,'National Results'!$N$5)*H11</f>
        <v>13282</v>
      </c>
      <c r="J11" s="99">
        <f ca="1">OFFSET(K11,0,'NYC Results'!$N$6)*H11</f>
        <v>13282</v>
      </c>
      <c r="L11" s="220">
        <f t="shared" si="0"/>
        <v>1</v>
      </c>
      <c r="M11" s="220">
        <v>0.24</v>
      </c>
      <c r="N11" s="220">
        <v>0.76</v>
      </c>
    </row>
    <row r="12" spans="1:14" s="1" customFormat="1" x14ac:dyDescent="0.5">
      <c r="B12" s="47" t="s">
        <v>6</v>
      </c>
      <c r="C12" s="48"/>
      <c r="D12" s="48"/>
      <c r="E12" s="48"/>
      <c r="F12" s="48"/>
      <c r="G12" s="48"/>
      <c r="H12" s="222">
        <v>7427</v>
      </c>
      <c r="I12" s="101">
        <f ca="1">OFFSET(K12,0,'National Results'!$N$5)*H12</f>
        <v>7427</v>
      </c>
      <c r="J12" s="101">
        <f ca="1">OFFSET(K12,0,'NYC Results'!$N$6)*H12</f>
        <v>7427</v>
      </c>
      <c r="L12" s="220">
        <f t="shared" si="0"/>
        <v>1</v>
      </c>
      <c r="M12" s="220">
        <v>0.24</v>
      </c>
      <c r="N12" s="220">
        <v>0.76</v>
      </c>
    </row>
    <row r="13" spans="1:14" s="43" customFormat="1" x14ac:dyDescent="0.5">
      <c r="B13" s="44" t="s">
        <v>34</v>
      </c>
      <c r="H13" s="102">
        <f>SUM(H9:H12)</f>
        <v>24465</v>
      </c>
      <c r="I13" s="102">
        <f ca="1">SUM(I9:I12)</f>
        <v>24465</v>
      </c>
      <c r="J13" s="102">
        <f ca="1">SUM(J9:J12)</f>
        <v>24465</v>
      </c>
      <c r="L13" s="102"/>
      <c r="M13" s="102"/>
      <c r="N13" s="102"/>
    </row>
    <row r="14" spans="1:14" s="1" customFormat="1" ht="7.1" customHeight="1" x14ac:dyDescent="0.5">
      <c r="B14" s="3"/>
      <c r="H14" s="100"/>
      <c r="I14" s="100"/>
      <c r="J14" s="100"/>
      <c r="L14" s="100"/>
      <c r="M14" s="100"/>
      <c r="N14" s="100"/>
    </row>
    <row r="15" spans="1:14" s="1" customFormat="1" x14ac:dyDescent="0.5">
      <c r="B15" s="10" t="s">
        <v>22</v>
      </c>
      <c r="C15" s="9"/>
      <c r="D15" s="9"/>
      <c r="E15" s="9"/>
      <c r="F15" s="9"/>
      <c r="G15" s="9"/>
      <c r="H15" s="105"/>
      <c r="I15" s="105"/>
      <c r="J15" s="105"/>
      <c r="L15" s="105"/>
      <c r="M15" s="105"/>
      <c r="N15" s="105"/>
    </row>
    <row r="16" spans="1:14" s="1" customFormat="1" x14ac:dyDescent="0.5">
      <c r="B16" s="2" t="s">
        <v>53</v>
      </c>
      <c r="H16" s="108"/>
      <c r="I16" s="108"/>
      <c r="J16" s="108"/>
      <c r="L16" s="108"/>
      <c r="M16" s="108"/>
      <c r="N16" s="108"/>
    </row>
    <row r="17" spans="2:14" s="1" customFormat="1" x14ac:dyDescent="0.5">
      <c r="B17" s="2"/>
      <c r="C17" s="2" t="s">
        <v>47</v>
      </c>
      <c r="H17" s="221">
        <v>11385</v>
      </c>
      <c r="I17" s="99">
        <f ca="1">OFFSET(K17,0,'National Results'!$N$5)*H17</f>
        <v>11385</v>
      </c>
      <c r="J17" s="99">
        <f ca="1">OFFSET(K17,0,'NYC Results'!$N$6)*H17</f>
        <v>11385</v>
      </c>
      <c r="L17" s="220">
        <f t="shared" ref="L17:L20" si="1">SUM(M17:N17)</f>
        <v>1</v>
      </c>
      <c r="M17" s="220">
        <v>0.24</v>
      </c>
      <c r="N17" s="220">
        <v>0.76</v>
      </c>
    </row>
    <row r="18" spans="2:14" s="1" customFormat="1" x14ac:dyDescent="0.5">
      <c r="B18" s="3"/>
      <c r="C18" s="2" t="s">
        <v>48</v>
      </c>
      <c r="E18" s="2"/>
      <c r="F18" s="2"/>
      <c r="G18" s="2"/>
      <c r="H18" s="221">
        <v>44534</v>
      </c>
      <c r="I18" s="99">
        <f ca="1">OFFSET(K18,0,'National Results'!$N$5)*H18</f>
        <v>44534</v>
      </c>
      <c r="J18" s="99">
        <f ca="1">OFFSET(K18,0,'NYC Results'!$N$6)*H18</f>
        <v>44534</v>
      </c>
      <c r="L18" s="220">
        <f t="shared" si="1"/>
        <v>1</v>
      </c>
      <c r="M18" s="220">
        <v>0.24</v>
      </c>
      <c r="N18" s="220">
        <v>0.76</v>
      </c>
    </row>
    <row r="19" spans="2:14" s="1" customFormat="1" x14ac:dyDescent="0.5">
      <c r="B19" s="2" t="s">
        <v>46</v>
      </c>
      <c r="C19" s="2"/>
      <c r="E19" s="2"/>
      <c r="F19" s="2"/>
      <c r="G19" s="2"/>
      <c r="H19" s="221">
        <v>20827</v>
      </c>
      <c r="I19" s="99">
        <f ca="1">OFFSET(K19,0,'National Results'!$N$5)*H19</f>
        <v>20827</v>
      </c>
      <c r="J19" s="99">
        <f ca="1">OFFSET(K19,0,'NYC Results'!$N$6)*H19</f>
        <v>20827</v>
      </c>
      <c r="L19" s="220">
        <f t="shared" si="1"/>
        <v>1</v>
      </c>
      <c r="M19" s="220">
        <v>0.24</v>
      </c>
      <c r="N19" s="220">
        <v>0.76</v>
      </c>
    </row>
    <row r="20" spans="2:14" s="1" customFormat="1" x14ac:dyDescent="0.5">
      <c r="B20" s="47" t="s">
        <v>8</v>
      </c>
      <c r="C20" s="48"/>
      <c r="D20" s="48"/>
      <c r="E20" s="47"/>
      <c r="F20" s="47"/>
      <c r="G20" s="47"/>
      <c r="H20" s="222">
        <v>5746</v>
      </c>
      <c r="I20" s="101">
        <f ca="1">OFFSET(K20,0,'National Results'!$N$5)*H20</f>
        <v>5746</v>
      </c>
      <c r="J20" s="101">
        <f ca="1">OFFSET(K20,0,'NYC Results'!$N$6)*H20</f>
        <v>5746</v>
      </c>
      <c r="L20" s="220">
        <f t="shared" si="1"/>
        <v>1</v>
      </c>
      <c r="M20" s="220">
        <v>0.24</v>
      </c>
      <c r="N20" s="220">
        <v>0.76</v>
      </c>
    </row>
    <row r="21" spans="2:14" s="43" customFormat="1" x14ac:dyDescent="0.5">
      <c r="B21" s="44" t="s">
        <v>35</v>
      </c>
      <c r="E21" s="44"/>
      <c r="F21" s="44"/>
      <c r="G21" s="44"/>
      <c r="H21" s="102">
        <f>SUM(H17:H20)</f>
        <v>82492</v>
      </c>
      <c r="I21" s="102">
        <f ca="1">SUM(I17:I20)</f>
        <v>82492</v>
      </c>
      <c r="J21" s="102">
        <f ca="1">SUM(J17:J20)</f>
        <v>82492</v>
      </c>
      <c r="L21" s="102"/>
      <c r="M21" s="102"/>
      <c r="N21" s="102"/>
    </row>
    <row r="22" spans="2:14" s="1" customFormat="1" ht="7.1" customHeight="1" x14ac:dyDescent="0.5">
      <c r="B22" s="3"/>
      <c r="E22" s="2"/>
      <c r="F22" s="2"/>
      <c r="G22" s="2"/>
      <c r="H22" s="100"/>
      <c r="I22" s="100"/>
      <c r="J22" s="100"/>
      <c r="L22" s="100"/>
      <c r="M22" s="100"/>
      <c r="N22" s="100"/>
    </row>
    <row r="23" spans="2:14" s="1" customFormat="1" x14ac:dyDescent="0.5">
      <c r="B23" s="7" t="s">
        <v>23</v>
      </c>
      <c r="C23" s="9"/>
      <c r="D23" s="9"/>
      <c r="E23" s="9"/>
      <c r="F23" s="9"/>
      <c r="G23" s="9"/>
      <c r="H23" s="105"/>
      <c r="I23" s="105"/>
      <c r="J23" s="105"/>
      <c r="L23" s="105"/>
      <c r="M23" s="105"/>
      <c r="N23" s="105"/>
    </row>
    <row r="24" spans="2:14" s="1" customFormat="1" x14ac:dyDescent="0.5">
      <c r="B24" s="2" t="s">
        <v>45</v>
      </c>
      <c r="C24" s="2"/>
      <c r="F24" s="2"/>
      <c r="G24" s="2"/>
      <c r="H24" s="221">
        <v>24029</v>
      </c>
      <c r="I24" s="99">
        <f ca="1">OFFSET(K24,0,'National Results'!$N$5)*H24</f>
        <v>24029</v>
      </c>
      <c r="J24" s="99">
        <f ca="1">OFFSET(K24,0,'NYC Results'!$N$6)*H24</f>
        <v>24029</v>
      </c>
      <c r="L24" s="220">
        <f t="shared" ref="L24:L25" si="2">SUM(M24:N24)</f>
        <v>1</v>
      </c>
      <c r="M24" s="220">
        <v>0</v>
      </c>
      <c r="N24" s="220">
        <v>1</v>
      </c>
    </row>
    <row r="25" spans="2:14" s="1" customFormat="1" x14ac:dyDescent="0.5">
      <c r="B25" s="47" t="s">
        <v>9</v>
      </c>
      <c r="C25" s="48"/>
      <c r="D25" s="48"/>
      <c r="E25" s="47"/>
      <c r="F25" s="47"/>
      <c r="G25" s="47"/>
      <c r="H25" s="222">
        <v>1265</v>
      </c>
      <c r="I25" s="101">
        <f ca="1">OFFSET(K25,0,'National Results'!$N$5)*H25</f>
        <v>1265</v>
      </c>
      <c r="J25" s="101">
        <f ca="1">OFFSET(K25,0,'NYC Results'!$N$6)*H25</f>
        <v>1265</v>
      </c>
      <c r="L25" s="220">
        <f t="shared" si="2"/>
        <v>1</v>
      </c>
      <c r="M25" s="220">
        <v>0.24</v>
      </c>
      <c r="N25" s="220">
        <v>0.76</v>
      </c>
    </row>
    <row r="26" spans="2:14" s="43" customFormat="1" x14ac:dyDescent="0.5">
      <c r="B26" s="44" t="s">
        <v>36</v>
      </c>
      <c r="E26" s="44"/>
      <c r="F26" s="44"/>
      <c r="G26" s="44"/>
      <c r="H26" s="103">
        <f>SUM(H24:H25)</f>
        <v>25294</v>
      </c>
      <c r="I26" s="103">
        <f ca="1">SUM(I24:I25)</f>
        <v>25294</v>
      </c>
      <c r="J26" s="103">
        <f ca="1">SUM(J24:J25)</f>
        <v>25294</v>
      </c>
      <c r="L26" s="103"/>
      <c r="M26" s="103"/>
      <c r="N26" s="103"/>
    </row>
    <row r="27" spans="2:14" s="1" customFormat="1" ht="7.1" customHeight="1" x14ac:dyDescent="0.5">
      <c r="B27" s="3"/>
      <c r="H27" s="100"/>
      <c r="I27" s="100"/>
      <c r="J27" s="100"/>
      <c r="L27" s="100"/>
      <c r="M27" s="100"/>
      <c r="N27" s="100"/>
    </row>
    <row r="28" spans="2:14" s="1" customFormat="1" x14ac:dyDescent="0.5">
      <c r="B28" s="7" t="s">
        <v>10</v>
      </c>
      <c r="C28" s="9"/>
      <c r="D28" s="9"/>
      <c r="E28" s="9"/>
      <c r="F28" s="9"/>
      <c r="G28" s="9"/>
      <c r="H28" s="105"/>
      <c r="I28" s="105"/>
      <c r="J28" s="105"/>
      <c r="L28" s="105"/>
      <c r="M28" s="105"/>
      <c r="N28" s="105"/>
    </row>
    <row r="29" spans="2:14" s="1" customFormat="1" x14ac:dyDescent="0.5">
      <c r="B29" s="2" t="s">
        <v>49</v>
      </c>
      <c r="H29" s="221">
        <v>17816</v>
      </c>
      <c r="I29" s="99">
        <f ca="1">OFFSET(K29,0,'National Results'!$N$5)*H29</f>
        <v>17816</v>
      </c>
      <c r="J29" s="99">
        <f ca="1">OFFSET(K29,0,'NYC Results'!$N$6)*H29</f>
        <v>17816</v>
      </c>
      <c r="L29" s="220">
        <f t="shared" ref="L29:L30" si="3">SUM(M29:N29)</f>
        <v>1</v>
      </c>
      <c r="M29" s="220">
        <v>0.24</v>
      </c>
      <c r="N29" s="220">
        <v>0.76</v>
      </c>
    </row>
    <row r="30" spans="2:14" s="1" customFormat="1" x14ac:dyDescent="0.5">
      <c r="B30" s="47" t="s">
        <v>7</v>
      </c>
      <c r="C30" s="48"/>
      <c r="D30" s="48"/>
      <c r="E30" s="48"/>
      <c r="F30" s="48"/>
      <c r="G30" s="48"/>
      <c r="H30" s="222">
        <v>62868</v>
      </c>
      <c r="I30" s="101">
        <f ca="1">OFFSET(K30,0,'National Results'!$N$5)*H30</f>
        <v>62868</v>
      </c>
      <c r="J30" s="101">
        <f ca="1">OFFSET(K30,0,'NYC Results'!$N$6)*H30</f>
        <v>62868</v>
      </c>
      <c r="L30" s="220">
        <f t="shared" si="3"/>
        <v>1</v>
      </c>
      <c r="M30" s="220">
        <v>0.24</v>
      </c>
      <c r="N30" s="220">
        <v>0.76</v>
      </c>
    </row>
    <row r="31" spans="2:14" s="43" customFormat="1" x14ac:dyDescent="0.5">
      <c r="B31" s="44" t="s">
        <v>57</v>
      </c>
      <c r="H31" s="102">
        <f>SUM(H29:H30)</f>
        <v>80684</v>
      </c>
      <c r="I31" s="102">
        <f ca="1">SUM(I29:I30)</f>
        <v>80684</v>
      </c>
      <c r="J31" s="102">
        <f ca="1">SUM(J29:J30)</f>
        <v>80684</v>
      </c>
      <c r="L31" s="102"/>
      <c r="M31" s="102"/>
      <c r="N31" s="102"/>
    </row>
    <row r="32" spans="2:14" s="1" customFormat="1" ht="7.1" customHeight="1" x14ac:dyDescent="0.5">
      <c r="B32" s="3"/>
      <c r="H32" s="109"/>
      <c r="I32" s="109"/>
      <c r="J32" s="109"/>
      <c r="L32" s="109"/>
      <c r="M32" s="109"/>
      <c r="N32" s="109"/>
    </row>
    <row r="33" spans="2:14" s="1" customFormat="1" x14ac:dyDescent="0.5">
      <c r="B33" s="7" t="s">
        <v>24</v>
      </c>
      <c r="C33" s="9"/>
      <c r="D33" s="9"/>
      <c r="E33" s="9"/>
      <c r="F33" s="9"/>
      <c r="G33" s="9"/>
      <c r="H33" s="105"/>
      <c r="I33" s="105"/>
      <c r="J33" s="105"/>
      <c r="L33" s="105"/>
      <c r="M33" s="105"/>
      <c r="N33" s="105"/>
    </row>
    <row r="34" spans="2:14" s="1" customFormat="1" x14ac:dyDescent="0.5">
      <c r="B34" s="2" t="s">
        <v>12</v>
      </c>
      <c r="H34" s="108"/>
      <c r="I34" s="108"/>
      <c r="J34" s="108"/>
      <c r="L34" s="108"/>
      <c r="M34" s="108"/>
      <c r="N34" s="108"/>
    </row>
    <row r="35" spans="2:14" s="1" customFormat="1" x14ac:dyDescent="0.5">
      <c r="B35" s="3"/>
      <c r="C35" s="2" t="s">
        <v>13</v>
      </c>
      <c r="D35" s="2"/>
      <c r="F35" s="2"/>
      <c r="G35" s="2"/>
      <c r="H35" s="221">
        <v>10559</v>
      </c>
      <c r="I35" s="99">
        <f ca="1">OFFSET(K35,0,'National Results'!$N$5)*H35</f>
        <v>10559</v>
      </c>
      <c r="J35" s="99">
        <f ca="1">OFFSET(K35,0,'NYC Results'!$N$6)*H35</f>
        <v>10559</v>
      </c>
      <c r="L35" s="220">
        <f t="shared" ref="L35" si="4">SUM(M35:N35)</f>
        <v>1</v>
      </c>
      <c r="M35" s="220">
        <v>1</v>
      </c>
      <c r="N35" s="220">
        <v>0</v>
      </c>
    </row>
    <row r="36" spans="2:14" s="1" customFormat="1" x14ac:dyDescent="0.5">
      <c r="B36" s="1" t="s">
        <v>14</v>
      </c>
      <c r="H36" s="108"/>
      <c r="I36" s="100"/>
      <c r="J36" s="100"/>
      <c r="L36" s="100"/>
      <c r="M36" s="100"/>
      <c r="N36" s="100"/>
    </row>
    <row r="37" spans="2:14" s="1" customFormat="1" x14ac:dyDescent="0.5">
      <c r="C37" s="2" t="s">
        <v>15</v>
      </c>
      <c r="H37" s="221">
        <v>41378.000000000007</v>
      </c>
      <c r="I37" s="99">
        <f ca="1">OFFSET(K37,0,'National Results'!$N$5)*H37</f>
        <v>41378.000000000007</v>
      </c>
      <c r="J37" s="99">
        <f ca="1">OFFSET(K37,0,'NYC Results'!$N$6)*H37</f>
        <v>41378.000000000007</v>
      </c>
      <c r="L37" s="220">
        <f t="shared" ref="L37:L40" si="5">SUM(M37:N37)</f>
        <v>1</v>
      </c>
      <c r="M37" s="220">
        <v>0.24</v>
      </c>
      <c r="N37" s="220">
        <v>0.76</v>
      </c>
    </row>
    <row r="38" spans="2:14" s="1" customFormat="1" x14ac:dyDescent="0.5">
      <c r="C38" s="2" t="s">
        <v>16</v>
      </c>
      <c r="H38" s="221">
        <v>12962.762591583238</v>
      </c>
      <c r="I38" s="99">
        <f ca="1">OFFSET(K38,0,'National Results'!$N$5)*H38</f>
        <v>12962.762591583238</v>
      </c>
      <c r="J38" s="99">
        <f ca="1">OFFSET(K38,0,'NYC Results'!$N$6)*H38</f>
        <v>12962.762591583238</v>
      </c>
      <c r="L38" s="220">
        <f t="shared" si="5"/>
        <v>1</v>
      </c>
      <c r="M38" s="220">
        <v>0.24</v>
      </c>
      <c r="N38" s="220">
        <v>0.76</v>
      </c>
    </row>
    <row r="39" spans="2:14" s="1" customFormat="1" x14ac:dyDescent="0.5">
      <c r="C39" s="2" t="s">
        <v>17</v>
      </c>
      <c r="H39" s="221">
        <v>1006.9698739560419</v>
      </c>
      <c r="I39" s="99">
        <f ca="1">OFFSET(K39,0,'National Results'!$N$5)*H39</f>
        <v>1006.9698739560419</v>
      </c>
      <c r="J39" s="99">
        <f ca="1">OFFSET(K39,0,'NYC Results'!$N$6)*H39</f>
        <v>1006.9698739560419</v>
      </c>
      <c r="L39" s="220">
        <f t="shared" si="5"/>
        <v>1</v>
      </c>
      <c r="M39" s="220">
        <v>0.24</v>
      </c>
      <c r="N39" s="220">
        <v>0.76</v>
      </c>
    </row>
    <row r="40" spans="2:14" s="1" customFormat="1" x14ac:dyDescent="0.5">
      <c r="B40" s="98"/>
      <c r="C40" s="47" t="s">
        <v>18</v>
      </c>
      <c r="D40" s="48"/>
      <c r="E40" s="48"/>
      <c r="F40" s="48"/>
      <c r="G40" s="48"/>
      <c r="H40" s="222">
        <v>599.26137465610645</v>
      </c>
      <c r="I40" s="101">
        <f ca="1">OFFSET(K40,0,'National Results'!$N$5)*H40</f>
        <v>599.26137465610645</v>
      </c>
      <c r="J40" s="101">
        <f ca="1">OFFSET(K40,0,'NYC Results'!$N$6)*H40</f>
        <v>599.26137465610645</v>
      </c>
      <c r="L40" s="220">
        <f t="shared" si="5"/>
        <v>1</v>
      </c>
      <c r="M40" s="220">
        <v>0.24</v>
      </c>
      <c r="N40" s="220">
        <v>0.76</v>
      </c>
    </row>
    <row r="41" spans="2:14" s="43" customFormat="1" x14ac:dyDescent="0.5">
      <c r="B41" s="3" t="s">
        <v>37</v>
      </c>
      <c r="C41" s="44"/>
      <c r="H41" s="102">
        <f>+SUM(H35,H37:H40)</f>
        <v>66505.993840195399</v>
      </c>
      <c r="I41" s="102">
        <f ca="1">+SUM(I35,I37:I40)</f>
        <v>66505.993840195399</v>
      </c>
      <c r="J41" s="102">
        <f ca="1">+SUM(J35,J37:J40)</f>
        <v>66505.993840195399</v>
      </c>
      <c r="L41" s="102"/>
      <c r="M41" s="102"/>
      <c r="N41" s="102"/>
    </row>
    <row r="42" spans="2:14" s="1" customFormat="1" ht="7.1" customHeight="1" x14ac:dyDescent="0.5">
      <c r="B42" s="3"/>
      <c r="H42" s="100"/>
      <c r="I42" s="100"/>
      <c r="J42" s="100"/>
      <c r="L42" s="100"/>
      <c r="M42" s="100"/>
      <c r="N42" s="100"/>
    </row>
    <row r="43" spans="2:14" s="1" customFormat="1" x14ac:dyDescent="0.5">
      <c r="B43" s="10" t="s">
        <v>19</v>
      </c>
      <c r="C43" s="9"/>
      <c r="D43" s="9"/>
      <c r="E43" s="11"/>
      <c r="F43" s="11"/>
      <c r="G43" s="11"/>
      <c r="H43" s="105"/>
      <c r="I43" s="105"/>
      <c r="J43" s="105"/>
      <c r="L43" s="105"/>
      <c r="M43" s="105"/>
      <c r="N43" s="105"/>
    </row>
    <row r="44" spans="2:14" s="1" customFormat="1" x14ac:dyDescent="0.5">
      <c r="B44" s="2" t="s">
        <v>19</v>
      </c>
      <c r="E44" s="2"/>
      <c r="F44" s="2"/>
      <c r="G44" s="2"/>
      <c r="H44" s="221">
        <v>234146</v>
      </c>
      <c r="I44" s="99">
        <f ca="1">OFFSET(K44,0,'National Results'!$N$5)*H44</f>
        <v>234146</v>
      </c>
      <c r="J44" s="99">
        <f ca="1">OFFSET(K44,0,'NYC Results'!$N$6)*H44</f>
        <v>234146</v>
      </c>
      <c r="L44" s="220">
        <f t="shared" ref="L44" si="6">SUM(M44:N44)</f>
        <v>1</v>
      </c>
      <c r="M44" s="220">
        <v>0.24</v>
      </c>
      <c r="N44" s="220">
        <v>0.76</v>
      </c>
    </row>
    <row r="45" spans="2:14" s="1" customFormat="1" ht="7.1" customHeight="1" x14ac:dyDescent="0.5">
      <c r="B45" s="2"/>
      <c r="E45" s="2"/>
      <c r="F45" s="2"/>
      <c r="G45" s="2"/>
      <c r="H45" s="100"/>
      <c r="I45" s="100"/>
      <c r="J45" s="100"/>
      <c r="L45" s="100"/>
      <c r="M45" s="100"/>
      <c r="N45" s="100"/>
    </row>
    <row r="46" spans="2:14" s="1" customFormat="1" x14ac:dyDescent="0.5">
      <c r="B46" s="10" t="s">
        <v>25</v>
      </c>
      <c r="C46" s="9"/>
      <c r="D46" s="9"/>
      <c r="E46" s="9"/>
      <c r="F46" s="9"/>
      <c r="G46" s="9"/>
      <c r="H46" s="105"/>
      <c r="I46" s="105"/>
      <c r="J46" s="105"/>
      <c r="L46" s="105"/>
      <c r="M46" s="105"/>
      <c r="N46" s="105"/>
    </row>
    <row r="47" spans="2:14" s="1" customFormat="1" x14ac:dyDescent="0.5">
      <c r="B47" s="2" t="s">
        <v>25</v>
      </c>
      <c r="H47" s="221">
        <v>18844</v>
      </c>
      <c r="I47" s="99">
        <f ca="1">OFFSET(K47,0,'National Results'!$N$5)*H47</f>
        <v>18844</v>
      </c>
      <c r="J47" s="99">
        <f ca="1">OFFSET(K47,0,'NYC Results'!$N$6)*H47</f>
        <v>18844</v>
      </c>
      <c r="L47" s="220">
        <f t="shared" ref="L47" si="7">SUM(M47:N47)</f>
        <v>1</v>
      </c>
      <c r="M47" s="220">
        <v>0.24</v>
      </c>
      <c r="N47" s="220">
        <v>0.76</v>
      </c>
    </row>
    <row r="48" spans="2:14" s="1" customFormat="1" ht="7.1" customHeight="1" x14ac:dyDescent="0.5">
      <c r="B48" s="2"/>
      <c r="H48" s="100"/>
      <c r="I48" s="100"/>
      <c r="J48" s="100"/>
      <c r="L48" s="100"/>
      <c r="M48" s="100"/>
      <c r="N48" s="100"/>
    </row>
    <row r="49" spans="2:15" s="1" customFormat="1" x14ac:dyDescent="0.5">
      <c r="B49" s="10" t="s">
        <v>4</v>
      </c>
      <c r="C49" s="9"/>
      <c r="D49" s="9"/>
      <c r="E49" s="9"/>
      <c r="F49" s="9"/>
      <c r="G49" s="9"/>
      <c r="H49" s="105"/>
      <c r="I49" s="105"/>
      <c r="J49" s="105"/>
      <c r="L49" s="105"/>
      <c r="M49" s="105"/>
      <c r="N49" s="105"/>
    </row>
    <row r="50" spans="2:15" s="1" customFormat="1" x14ac:dyDescent="0.5">
      <c r="B50" s="2" t="s">
        <v>20</v>
      </c>
      <c r="E50" s="2"/>
      <c r="F50" s="2"/>
      <c r="G50" s="2"/>
      <c r="H50" s="221">
        <v>1919</v>
      </c>
      <c r="I50" s="99">
        <f ca="1">OFFSET(K50,0,'National Results'!$N$5)*H50</f>
        <v>1919</v>
      </c>
      <c r="J50" s="99">
        <f ca="1">OFFSET(K50,0,'NYC Results'!$N$6)*H50</f>
        <v>1919</v>
      </c>
      <c r="L50" s="220">
        <f t="shared" ref="L50:L52" si="8">SUM(M50:N50)</f>
        <v>1</v>
      </c>
      <c r="M50" s="220">
        <v>0.24</v>
      </c>
      <c r="N50" s="220">
        <v>0.76</v>
      </c>
    </row>
    <row r="51" spans="2:15" s="1" customFormat="1" x14ac:dyDescent="0.5">
      <c r="B51" s="2" t="s">
        <v>11</v>
      </c>
      <c r="E51" s="2"/>
      <c r="F51" s="2"/>
      <c r="G51" s="2"/>
      <c r="H51" s="221">
        <v>24157</v>
      </c>
      <c r="I51" s="99">
        <f ca="1">OFFSET(K51,0,'National Results'!$N$5)*H51</f>
        <v>24157</v>
      </c>
      <c r="J51" s="99">
        <f ca="1">OFFSET(K51,0,'NYC Results'!$N$6)*H51</f>
        <v>24157</v>
      </c>
      <c r="L51" s="220">
        <f t="shared" si="8"/>
        <v>1</v>
      </c>
      <c r="M51" s="220">
        <v>0.24</v>
      </c>
      <c r="N51" s="220">
        <v>0.76</v>
      </c>
    </row>
    <row r="52" spans="2:15" s="1" customFormat="1" x14ac:dyDescent="0.5">
      <c r="B52" s="47" t="s">
        <v>55</v>
      </c>
      <c r="C52" s="48"/>
      <c r="D52" s="48"/>
      <c r="E52" s="47"/>
      <c r="F52" s="47"/>
      <c r="G52" s="47"/>
      <c r="H52" s="222">
        <v>2933</v>
      </c>
      <c r="I52" s="101">
        <f ca="1">OFFSET(K52,0,'National Results'!$N$5)*H52</f>
        <v>2933</v>
      </c>
      <c r="J52" s="101">
        <f ca="1">OFFSET(K52,0,'NYC Results'!$N$6)*H52</f>
        <v>2933</v>
      </c>
      <c r="L52" s="220">
        <f t="shared" si="8"/>
        <v>1</v>
      </c>
      <c r="M52" s="220">
        <v>0.24</v>
      </c>
      <c r="N52" s="220">
        <v>0.76</v>
      </c>
    </row>
    <row r="53" spans="2:15" s="43" customFormat="1" x14ac:dyDescent="0.5">
      <c r="B53" s="44" t="s">
        <v>38</v>
      </c>
      <c r="E53" s="44"/>
      <c r="F53" s="44"/>
      <c r="G53" s="44"/>
      <c r="H53" s="104">
        <f>SUM(H50:H52)</f>
        <v>29009</v>
      </c>
      <c r="I53" s="104">
        <f ca="1">SUM(I50:I52)</f>
        <v>29009</v>
      </c>
      <c r="J53" s="104">
        <f ca="1">SUM(J50:J52)</f>
        <v>29009</v>
      </c>
      <c r="L53"/>
      <c r="M53"/>
      <c r="N53"/>
      <c r="O53"/>
    </row>
    <row r="54" spans="2:15" s="43" customFormat="1" ht="7.1" customHeight="1" thickBot="1" x14ac:dyDescent="0.55000000000000004">
      <c r="B54" s="44"/>
      <c r="E54" s="44"/>
      <c r="F54" s="44"/>
      <c r="G54" s="44"/>
      <c r="H54" s="104"/>
      <c r="I54" s="104"/>
      <c r="J54" s="104"/>
      <c r="L54"/>
      <c r="M54"/>
      <c r="N54"/>
      <c r="O54"/>
    </row>
    <row r="55" spans="2:15" s="43" customFormat="1" ht="14.7" thickBot="1" x14ac:dyDescent="0.55000000000000004">
      <c r="B55" s="146" t="s">
        <v>39</v>
      </c>
      <c r="C55" s="147"/>
      <c r="D55" s="147"/>
      <c r="E55" s="148"/>
      <c r="F55" s="148"/>
      <c r="G55" s="148"/>
      <c r="H55" s="182">
        <f>SUM(H13,H21,H26,H31,H41,H44,H47,H53)</f>
        <v>561439.99384019547</v>
      </c>
      <c r="I55" s="182">
        <f ca="1">SUM(I13,I21,I26,I31,I41,I44,I47,I53)</f>
        <v>561439.99384019547</v>
      </c>
      <c r="J55" s="182">
        <f ca="1">SUM(J13,J21,J26,J31,J41,J44,J47,J53)</f>
        <v>561439.99384019547</v>
      </c>
      <c r="L55"/>
      <c r="M55"/>
      <c r="N55"/>
      <c r="O55"/>
    </row>
    <row r="56" spans="2:15" s="1" customFormat="1" x14ac:dyDescent="0.5">
      <c r="L56"/>
      <c r="M56"/>
      <c r="N56"/>
      <c r="O56"/>
    </row>
    <row r="57" spans="2:15" s="1" customFormat="1" x14ac:dyDescent="0.5"/>
    <row r="58" spans="2:15" s="1" customFormat="1" x14ac:dyDescent="0.5"/>
    <row r="59" spans="2:15" s="1" customFormat="1" x14ac:dyDescent="0.5"/>
    <row r="60" spans="2:15" s="1" customFormat="1" x14ac:dyDescent="0.5"/>
    <row r="61" spans="2:15" s="1" customFormat="1" x14ac:dyDescent="0.5"/>
    <row r="62" spans="2:15" s="1" customFormat="1" x14ac:dyDescent="0.5"/>
    <row r="63" spans="2:15" s="1" customFormat="1" x14ac:dyDescent="0.5"/>
    <row r="64" spans="2:15" s="1" customFormat="1" x14ac:dyDescent="0.5"/>
    <row r="65" s="1" customFormat="1" x14ac:dyDescent="0.5"/>
    <row r="66" s="1" customFormat="1" ht="7.1" customHeight="1" x14ac:dyDescent="0.5"/>
    <row r="67" s="1" customFormat="1" x14ac:dyDescent="0.5"/>
    <row r="68" s="1" customFormat="1" x14ac:dyDescent="0.5"/>
    <row r="69" s="1" customFormat="1" x14ac:dyDescent="0.5"/>
    <row r="70" s="1" customFormat="1" x14ac:dyDescent="0.5"/>
    <row r="71" s="1" customFormat="1" x14ac:dyDescent="0.5"/>
    <row r="72" s="1" customFormat="1" x14ac:dyDescent="0.5"/>
    <row r="73" s="1" customFormat="1" x14ac:dyDescent="0.5"/>
    <row r="74" s="1" customFormat="1" ht="7.1" customHeight="1" x14ac:dyDescent="0.5"/>
    <row r="75" s="1" customFormat="1" x14ac:dyDescent="0.5"/>
    <row r="76" s="1" customFormat="1" x14ac:dyDescent="0.5"/>
    <row r="77" s="1" customFormat="1" x14ac:dyDescent="0.5"/>
    <row r="78" s="1" customFormat="1" x14ac:dyDescent="0.5"/>
    <row r="79" s="1" customFormat="1" ht="7.1" customHeight="1" x14ac:dyDescent="0.5"/>
    <row r="80" s="1" customFormat="1" x14ac:dyDescent="0.5"/>
    <row r="81" s="1" customFormat="1" x14ac:dyDescent="0.5"/>
    <row r="82" s="1" customFormat="1" x14ac:dyDescent="0.5"/>
    <row r="83" s="1" customFormat="1" x14ac:dyDescent="0.5"/>
    <row r="84" s="1" customFormat="1" ht="7.1" customHeight="1" x14ac:dyDescent="0.5"/>
    <row r="85" s="1" customFormat="1" x14ac:dyDescent="0.5"/>
    <row r="86" s="1" customFormat="1" x14ac:dyDescent="0.5"/>
    <row r="87" s="1" customFormat="1" x14ac:dyDescent="0.5"/>
    <row r="88" s="1" customFormat="1" x14ac:dyDescent="0.5"/>
    <row r="89" s="1" customFormat="1" x14ac:dyDescent="0.5"/>
    <row r="90" s="1" customFormat="1" x14ac:dyDescent="0.5"/>
    <row r="91" s="1" customFormat="1" x14ac:dyDescent="0.5"/>
    <row r="92" s="1" customFormat="1" x14ac:dyDescent="0.5"/>
    <row r="93" s="1" customFormat="1" x14ac:dyDescent="0.5"/>
    <row r="94" s="1" customFormat="1" ht="7.1" customHeight="1" x14ac:dyDescent="0.5"/>
    <row r="95" s="1" customFormat="1" x14ac:dyDescent="0.5"/>
    <row r="96" s="1" customFormat="1" x14ac:dyDescent="0.5"/>
    <row r="97" s="1" customFormat="1" ht="7.1" customHeight="1" x14ac:dyDescent="0.5"/>
    <row r="98" s="1" customFormat="1" x14ac:dyDescent="0.5"/>
    <row r="99" s="1" customFormat="1" x14ac:dyDescent="0.5"/>
    <row r="100" s="1" customFormat="1" ht="7.1" customHeight="1" x14ac:dyDescent="0.5"/>
    <row r="101" s="1" customFormat="1" x14ac:dyDescent="0.5"/>
    <row r="102" s="1" customFormat="1" x14ac:dyDescent="0.5"/>
    <row r="103" s="1" customFormat="1" x14ac:dyDescent="0.5"/>
    <row r="104" s="1" customFormat="1" x14ac:dyDescent="0.5"/>
    <row r="105" s="1" customFormat="1" x14ac:dyDescent="0.5"/>
    <row r="106" s="1" customFormat="1" x14ac:dyDescent="0.5"/>
    <row r="107" s="1" customFormat="1" x14ac:dyDescent="0.5"/>
    <row r="108" s="1" customFormat="1" x14ac:dyDescent="0.5"/>
    <row r="109" s="1" customFormat="1" x14ac:dyDescent="0.5"/>
    <row r="110" s="1" customFormat="1" x14ac:dyDescent="0.5"/>
    <row r="111" s="1" customFormat="1" x14ac:dyDescent="0.5"/>
    <row r="112" s="1" customFormat="1" ht="7.1" customHeight="1" x14ac:dyDescent="0.5"/>
    <row r="113" s="45" customFormat="1" x14ac:dyDescent="0.5"/>
  </sheetData>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AR187"/>
  <sheetViews>
    <sheetView showGridLines="0" workbookViewId="0">
      <pane ySplit="11" topLeftCell="A12" activePane="bottomLeft" state="frozen"/>
      <selection activeCell="N89" sqref="N89"/>
      <selection pane="bottomLeft" activeCell="Q3" sqref="Q3"/>
    </sheetView>
  </sheetViews>
  <sheetFormatPr defaultColWidth="0" defaultRowHeight="14.35" outlineLevelRow="1" x14ac:dyDescent="0.5"/>
  <cols>
    <col min="1" max="2" width="2.3515625" style="1" customWidth="1"/>
    <col min="3" max="3" width="2.3515625" style="76" customWidth="1"/>
    <col min="4" max="4" width="11.41015625" style="76" customWidth="1"/>
    <col min="5" max="6" width="11.41015625" style="1" customWidth="1"/>
    <col min="7" max="10" width="11.41015625" style="18" customWidth="1"/>
    <col min="11" max="11" width="11.41015625" style="34" customWidth="1"/>
    <col min="12" max="16" width="11.41015625" style="18" customWidth="1"/>
    <col min="17" max="17" width="11.41015625" style="34" customWidth="1"/>
    <col min="18" max="20" width="11.41015625" style="18" customWidth="1"/>
    <col min="21" max="21" width="11.41015625" style="34" customWidth="1"/>
    <col min="22" max="22" width="2.3515625" style="1" customWidth="1"/>
    <col min="23" max="44" width="0" style="1" hidden="1" customWidth="1"/>
    <col min="45" max="16384" width="10.64453125" style="1" hidden="1"/>
  </cols>
  <sheetData>
    <row r="1" spans="1:21" s="4" customFormat="1" ht="18" x14ac:dyDescent="0.6">
      <c r="A1" s="5" t="s">
        <v>60</v>
      </c>
      <c r="G1" s="17"/>
      <c r="H1" s="17"/>
      <c r="I1" s="17"/>
      <c r="J1" s="17"/>
      <c r="K1" s="33"/>
      <c r="L1" s="17"/>
      <c r="M1" s="17"/>
      <c r="N1" s="17"/>
      <c r="O1" s="17"/>
      <c r="P1" s="17"/>
      <c r="Q1" s="33"/>
      <c r="R1" s="17"/>
      <c r="S1" s="17"/>
      <c r="T1" s="17"/>
      <c r="U1" s="33"/>
    </row>
    <row r="3" spans="1:21" ht="14.7" thickBot="1" x14ac:dyDescent="0.55000000000000004">
      <c r="B3" s="278" t="s">
        <v>27</v>
      </c>
      <c r="C3" s="279"/>
      <c r="D3" s="279"/>
      <c r="E3" s="259"/>
      <c r="F3" s="259"/>
      <c r="G3" s="280"/>
      <c r="H3" s="280"/>
      <c r="I3" s="280"/>
      <c r="J3" s="280"/>
      <c r="K3" s="281"/>
      <c r="L3" s="280"/>
      <c r="M3" s="280"/>
      <c r="N3" s="280"/>
      <c r="O3" s="280"/>
      <c r="P3" s="282"/>
      <c r="Q3" s="18"/>
      <c r="R3" s="268"/>
      <c r="S3" s="268"/>
      <c r="T3" s="268"/>
    </row>
    <row r="4" spans="1:21" ht="15" thickTop="1" thickBot="1" x14ac:dyDescent="0.55000000000000004">
      <c r="B4" s="267"/>
      <c r="C4" s="78" t="s">
        <v>91</v>
      </c>
      <c r="D4" s="78"/>
      <c r="E4" s="64"/>
      <c r="F4" s="64"/>
      <c r="G4" s="268"/>
      <c r="H4" s="268"/>
      <c r="I4" s="268"/>
      <c r="J4" s="268"/>
      <c r="K4" s="283"/>
      <c r="L4" s="32">
        <v>2</v>
      </c>
      <c r="M4" s="269" t="str">
        <f>+"Currently Selected: "&amp;CHOOSE($L$4,B57,B101,B145)</f>
        <v>Currently Selected: Baseline Assumptions</v>
      </c>
      <c r="N4" s="268"/>
      <c r="P4" s="284"/>
      <c r="Q4" s="18"/>
      <c r="R4" s="268"/>
      <c r="S4" s="351"/>
      <c r="T4" s="268"/>
    </row>
    <row r="5" spans="1:21" s="55" customFormat="1" ht="3" customHeight="1" thickTop="1" x14ac:dyDescent="0.5">
      <c r="B5" s="271"/>
      <c r="C5" s="272"/>
      <c r="D5" s="272"/>
      <c r="E5" s="273"/>
      <c r="F5" s="273"/>
      <c r="G5" s="274"/>
      <c r="H5" s="274"/>
      <c r="I5" s="274"/>
      <c r="J5" s="274"/>
      <c r="K5" s="285"/>
      <c r="L5" s="274">
        <v>4</v>
      </c>
      <c r="M5" s="274"/>
      <c r="N5" s="274"/>
      <c r="O5" s="275">
        <v>3</v>
      </c>
      <c r="P5" s="286"/>
      <c r="Q5" s="264"/>
      <c r="R5" s="350"/>
      <c r="S5" s="352"/>
      <c r="T5" s="350"/>
      <c r="U5" s="266"/>
    </row>
    <row r="6" spans="1:21" ht="7.1" customHeight="1" x14ac:dyDescent="0.5"/>
    <row r="7" spans="1:21" x14ac:dyDescent="0.5">
      <c r="B7" s="6" t="s">
        <v>92</v>
      </c>
    </row>
    <row r="8" spans="1:21" ht="7.1" customHeight="1" thickBot="1" x14ac:dyDescent="0.55000000000000004"/>
    <row r="9" spans="1:21" ht="15.7" x14ac:dyDescent="0.55000000000000004">
      <c r="B9" s="205"/>
      <c r="C9" s="198"/>
      <c r="D9" s="198"/>
      <c r="E9" s="197"/>
      <c r="F9" s="66"/>
      <c r="G9" s="380" t="s">
        <v>73</v>
      </c>
      <c r="H9" s="381"/>
      <c r="I9" s="381"/>
      <c r="J9" s="381"/>
      <c r="K9" s="383"/>
      <c r="L9" s="377" t="s">
        <v>72</v>
      </c>
      <c r="M9" s="378"/>
      <c r="N9" s="378"/>
      <c r="O9" s="378"/>
      <c r="P9" s="378"/>
      <c r="Q9" s="379"/>
      <c r="R9" s="380" t="s">
        <v>4</v>
      </c>
      <c r="S9" s="381"/>
      <c r="T9" s="382"/>
      <c r="U9" s="119"/>
    </row>
    <row r="10" spans="1:21" s="65" customFormat="1" ht="15.7" x14ac:dyDescent="0.55000000000000004">
      <c r="B10" s="199"/>
      <c r="C10" s="200"/>
      <c r="D10" s="200"/>
      <c r="E10" s="201"/>
      <c r="F10" s="201"/>
      <c r="G10" s="202" t="s">
        <v>69</v>
      </c>
      <c r="H10" s="59" t="s">
        <v>70</v>
      </c>
      <c r="I10" s="59" t="s">
        <v>61</v>
      </c>
      <c r="J10" s="59" t="s">
        <v>182</v>
      </c>
      <c r="K10" s="203" t="s">
        <v>63</v>
      </c>
      <c r="L10" s="202"/>
      <c r="M10" s="59"/>
      <c r="N10" s="59"/>
      <c r="O10" s="59" t="s">
        <v>26</v>
      </c>
      <c r="P10" s="59" t="s">
        <v>71</v>
      </c>
      <c r="Q10" s="203" t="s">
        <v>63</v>
      </c>
      <c r="R10" s="59"/>
      <c r="S10" s="59"/>
      <c r="T10" s="59"/>
      <c r="U10" s="204" t="s">
        <v>65</v>
      </c>
    </row>
    <row r="11" spans="1:21" s="65" customFormat="1" ht="16" thickBot="1" x14ac:dyDescent="0.6">
      <c r="B11" s="67"/>
      <c r="C11" s="68"/>
      <c r="D11" s="68"/>
      <c r="E11" s="68"/>
      <c r="F11" s="68"/>
      <c r="G11" s="58" t="s">
        <v>0</v>
      </c>
      <c r="H11" s="29" t="s">
        <v>0</v>
      </c>
      <c r="I11" s="29" t="s">
        <v>62</v>
      </c>
      <c r="J11" s="29" t="s">
        <v>62</v>
      </c>
      <c r="K11" s="70" t="s">
        <v>64</v>
      </c>
      <c r="L11" s="58" t="s">
        <v>41</v>
      </c>
      <c r="M11" s="29" t="s">
        <v>42</v>
      </c>
      <c r="N11" s="29" t="s">
        <v>43</v>
      </c>
      <c r="O11" s="29" t="s">
        <v>40</v>
      </c>
      <c r="P11" s="29" t="s">
        <v>183</v>
      </c>
      <c r="Q11" s="70" t="s">
        <v>66</v>
      </c>
      <c r="R11" s="29" t="s">
        <v>2</v>
      </c>
      <c r="S11" s="29" t="s">
        <v>1</v>
      </c>
      <c r="T11" s="29" t="s">
        <v>3</v>
      </c>
      <c r="U11" s="120" t="s">
        <v>63</v>
      </c>
    </row>
    <row r="12" spans="1:21" s="64" customFormat="1" ht="4.0999999999999996" customHeight="1" thickBot="1" x14ac:dyDescent="0.6">
      <c r="G12" s="59"/>
      <c r="H12" s="59"/>
      <c r="I12" s="59"/>
      <c r="J12" s="59"/>
      <c r="K12" s="59"/>
      <c r="L12" s="59"/>
      <c r="M12" s="59"/>
      <c r="N12" s="59"/>
      <c r="O12" s="59"/>
      <c r="P12" s="59"/>
      <c r="Q12" s="59"/>
      <c r="R12" s="59"/>
      <c r="S12" s="59"/>
      <c r="T12" s="59"/>
      <c r="U12" s="59"/>
    </row>
    <row r="13" spans="1:21" ht="14.7" thickBot="1" x14ac:dyDescent="0.55000000000000004">
      <c r="B13" s="124" t="s">
        <v>30</v>
      </c>
      <c r="C13" s="125"/>
      <c r="D13" s="125"/>
      <c r="E13" s="126"/>
      <c r="F13" s="126"/>
      <c r="G13" s="127"/>
      <c r="H13" s="128"/>
      <c r="I13" s="128"/>
      <c r="J13" s="128"/>
      <c r="K13" s="129"/>
      <c r="L13" s="127"/>
      <c r="M13" s="128"/>
      <c r="N13" s="128"/>
      <c r="O13" s="128"/>
      <c r="P13" s="128"/>
      <c r="Q13" s="129"/>
      <c r="R13" s="128"/>
      <c r="S13" s="128"/>
      <c r="T13" s="128"/>
      <c r="U13" s="130"/>
    </row>
    <row r="14" spans="1:21" outlineLevel="1" x14ac:dyDescent="0.5">
      <c r="B14" s="84" t="s">
        <v>21</v>
      </c>
      <c r="C14" s="77"/>
      <c r="D14" s="77"/>
      <c r="E14" s="9"/>
      <c r="F14" s="9"/>
      <c r="G14" s="50"/>
      <c r="H14" s="60"/>
      <c r="I14" s="60"/>
      <c r="J14" s="60"/>
      <c r="K14" s="115"/>
      <c r="L14" s="50"/>
      <c r="M14" s="60"/>
      <c r="N14" s="60"/>
      <c r="O14" s="20"/>
      <c r="P14" s="60"/>
      <c r="Q14" s="115"/>
      <c r="R14" s="20"/>
      <c r="S14" s="20"/>
      <c r="T14" s="20"/>
      <c r="U14" s="123"/>
    </row>
    <row r="15" spans="1:21" outlineLevel="1" x14ac:dyDescent="0.5">
      <c r="B15" s="14" t="s">
        <v>59</v>
      </c>
      <c r="C15" s="1"/>
      <c r="D15" s="1"/>
      <c r="G15" s="52"/>
      <c r="H15" s="61"/>
      <c r="I15" s="61"/>
      <c r="J15" s="61"/>
      <c r="K15" s="116"/>
      <c r="L15" s="52"/>
      <c r="M15" s="61"/>
      <c r="N15" s="61"/>
      <c r="O15" s="21"/>
      <c r="P15" s="61"/>
      <c r="Q15" s="116"/>
      <c r="R15" s="21"/>
      <c r="S15" s="21"/>
      <c r="T15" s="21"/>
      <c r="U15" s="121"/>
    </row>
    <row r="16" spans="1:21" outlineLevel="1" x14ac:dyDescent="0.5">
      <c r="B16" s="14"/>
      <c r="C16" s="2" t="s">
        <v>52</v>
      </c>
      <c r="D16" s="1"/>
      <c r="G16" s="52">
        <f t="shared" ref="G16:J19" si="0">CHOOSE($L$4,G60,G104,G148)</f>
        <v>0.3</v>
      </c>
      <c r="H16" s="61">
        <f t="shared" si="0"/>
        <v>0.7</v>
      </c>
      <c r="I16" s="21">
        <f t="shared" si="0"/>
        <v>0</v>
      </c>
      <c r="J16" s="21">
        <f t="shared" si="0"/>
        <v>0</v>
      </c>
      <c r="K16" s="116">
        <f>SUM(G16:J16)</f>
        <v>1</v>
      </c>
      <c r="L16" s="52">
        <f t="shared" ref="L16:P19" si="1">CHOOSE($L$4,L60,L104,L148)</f>
        <v>0</v>
      </c>
      <c r="M16" s="61">
        <f t="shared" si="1"/>
        <v>0</v>
      </c>
      <c r="N16" s="61">
        <f t="shared" si="1"/>
        <v>0</v>
      </c>
      <c r="O16" s="21">
        <f t="shared" si="1"/>
        <v>0</v>
      </c>
      <c r="P16" s="61">
        <f t="shared" si="1"/>
        <v>0</v>
      </c>
      <c r="Q16" s="116">
        <f>SUM(L16:P16)</f>
        <v>0</v>
      </c>
      <c r="R16" s="21">
        <f t="shared" ref="R16:T19" si="2">CHOOSE($L$4,R60,R104,R148)</f>
        <v>0</v>
      </c>
      <c r="S16" s="21">
        <f t="shared" si="2"/>
        <v>0</v>
      </c>
      <c r="T16" s="21">
        <f t="shared" si="2"/>
        <v>0</v>
      </c>
      <c r="U16" s="121">
        <f>+SUM(K16,Q16:T16)</f>
        <v>1</v>
      </c>
    </row>
    <row r="17" spans="1:22" outlineLevel="1" x14ac:dyDescent="0.5">
      <c r="B17" s="85"/>
      <c r="C17" s="2" t="s">
        <v>4</v>
      </c>
      <c r="D17" s="1"/>
      <c r="G17" s="52">
        <f t="shared" si="0"/>
        <v>1</v>
      </c>
      <c r="H17" s="61">
        <f t="shared" si="0"/>
        <v>0</v>
      </c>
      <c r="I17" s="21">
        <f t="shared" si="0"/>
        <v>0</v>
      </c>
      <c r="J17" s="21">
        <f t="shared" si="0"/>
        <v>0</v>
      </c>
      <c r="K17" s="116">
        <f>SUM(G17:J17)</f>
        <v>1</v>
      </c>
      <c r="L17" s="52">
        <f t="shared" si="1"/>
        <v>0</v>
      </c>
      <c r="M17" s="61">
        <f t="shared" si="1"/>
        <v>0</v>
      </c>
      <c r="N17" s="61">
        <f t="shared" si="1"/>
        <v>0</v>
      </c>
      <c r="O17" s="21">
        <f t="shared" si="1"/>
        <v>0</v>
      </c>
      <c r="P17" s="61">
        <f t="shared" si="1"/>
        <v>0</v>
      </c>
      <c r="Q17" s="116">
        <f t="shared" ref="Q17:Q19" si="3">SUM(L17:P17)</f>
        <v>0</v>
      </c>
      <c r="R17" s="21">
        <f t="shared" si="2"/>
        <v>0</v>
      </c>
      <c r="S17" s="21">
        <f t="shared" si="2"/>
        <v>0</v>
      </c>
      <c r="T17" s="21">
        <f t="shared" si="2"/>
        <v>0</v>
      </c>
      <c r="U17" s="121">
        <f>+SUM(K17,Q17:T17)</f>
        <v>1</v>
      </c>
    </row>
    <row r="18" spans="1:22" outlineLevel="1" x14ac:dyDescent="0.5">
      <c r="B18" s="14" t="s">
        <v>5</v>
      </c>
      <c r="C18" s="1"/>
      <c r="D18" s="1"/>
      <c r="E18" s="2"/>
      <c r="F18" s="2"/>
      <c r="G18" s="52">
        <f t="shared" si="0"/>
        <v>0.01</v>
      </c>
      <c r="H18" s="61">
        <f t="shared" si="0"/>
        <v>0.01</v>
      </c>
      <c r="I18" s="21">
        <f t="shared" si="0"/>
        <v>0.01</v>
      </c>
      <c r="J18" s="21">
        <f t="shared" si="0"/>
        <v>0.01</v>
      </c>
      <c r="K18" s="116">
        <f>SUM(G18:J18)</f>
        <v>0.04</v>
      </c>
      <c r="L18" s="52">
        <f t="shared" si="1"/>
        <v>0.1</v>
      </c>
      <c r="M18" s="61">
        <f t="shared" si="1"/>
        <v>0.1</v>
      </c>
      <c r="N18" s="61">
        <f t="shared" si="1"/>
        <v>0.1</v>
      </c>
      <c r="O18" s="21">
        <f t="shared" si="1"/>
        <v>0.65</v>
      </c>
      <c r="P18" s="61">
        <f t="shared" si="1"/>
        <v>0</v>
      </c>
      <c r="Q18" s="116">
        <f t="shared" si="3"/>
        <v>0.95000000000000007</v>
      </c>
      <c r="R18" s="21">
        <f t="shared" si="2"/>
        <v>0.01</v>
      </c>
      <c r="S18" s="21">
        <f t="shared" si="2"/>
        <v>0</v>
      </c>
      <c r="T18" s="21">
        <f t="shared" si="2"/>
        <v>0</v>
      </c>
      <c r="U18" s="121">
        <f>+SUM(K18,Q18:T18)</f>
        <v>1</v>
      </c>
    </row>
    <row r="19" spans="1:22" outlineLevel="1" x14ac:dyDescent="0.5">
      <c r="B19" s="14" t="s">
        <v>6</v>
      </c>
      <c r="C19" s="1"/>
      <c r="D19" s="1"/>
      <c r="G19" s="52">
        <f t="shared" si="0"/>
        <v>0.05</v>
      </c>
      <c r="H19" s="61">
        <f t="shared" si="0"/>
        <v>0</v>
      </c>
      <c r="I19" s="21">
        <f t="shared" si="0"/>
        <v>0.3</v>
      </c>
      <c r="J19" s="21">
        <f t="shared" si="0"/>
        <v>0.01</v>
      </c>
      <c r="K19" s="116">
        <f>SUM(G19:J19)</f>
        <v>0.36</v>
      </c>
      <c r="L19" s="52">
        <f t="shared" si="1"/>
        <v>0.04</v>
      </c>
      <c r="M19" s="61">
        <f t="shared" si="1"/>
        <v>0.04</v>
      </c>
      <c r="N19" s="61">
        <f t="shared" si="1"/>
        <v>0.04</v>
      </c>
      <c r="O19" s="21">
        <f t="shared" si="1"/>
        <v>0.5</v>
      </c>
      <c r="P19" s="61">
        <f t="shared" si="1"/>
        <v>0</v>
      </c>
      <c r="Q19" s="116">
        <f t="shared" si="3"/>
        <v>0.62</v>
      </c>
      <c r="R19" s="21">
        <f t="shared" si="2"/>
        <v>0.01</v>
      </c>
      <c r="S19" s="21">
        <f t="shared" si="2"/>
        <v>0.01</v>
      </c>
      <c r="T19" s="21">
        <f t="shared" si="2"/>
        <v>0</v>
      </c>
      <c r="U19" s="121">
        <f>+SUM(K19,Q19:T19)</f>
        <v>1</v>
      </c>
    </row>
    <row r="20" spans="1:22" ht="7.1" customHeight="1" outlineLevel="1" x14ac:dyDescent="0.5">
      <c r="B20" s="85"/>
      <c r="C20" s="1"/>
      <c r="D20" s="1"/>
      <c r="G20" s="52"/>
      <c r="H20" s="61"/>
      <c r="I20" s="21"/>
      <c r="J20" s="21"/>
      <c r="K20" s="116"/>
      <c r="L20" s="52"/>
      <c r="M20" s="61"/>
      <c r="N20" s="61"/>
      <c r="O20" s="21"/>
      <c r="P20" s="61"/>
      <c r="Q20" s="116"/>
      <c r="R20" s="21"/>
      <c r="S20" s="21"/>
      <c r="T20" s="21"/>
      <c r="U20" s="121"/>
    </row>
    <row r="21" spans="1:22" s="9" customFormat="1" outlineLevel="1" x14ac:dyDescent="0.5">
      <c r="A21" s="1"/>
      <c r="B21" s="86" t="s">
        <v>22</v>
      </c>
      <c r="G21" s="51"/>
      <c r="H21" s="62"/>
      <c r="I21" s="22"/>
      <c r="J21" s="22"/>
      <c r="K21" s="117"/>
      <c r="L21" s="51"/>
      <c r="M21" s="62"/>
      <c r="N21" s="62"/>
      <c r="O21" s="22"/>
      <c r="P21" s="62"/>
      <c r="Q21" s="117"/>
      <c r="R21" s="22"/>
      <c r="S21" s="22"/>
      <c r="T21" s="22"/>
      <c r="U21" s="71"/>
      <c r="V21" s="1"/>
    </row>
    <row r="22" spans="1:22" outlineLevel="1" x14ac:dyDescent="0.5">
      <c r="B22" s="14" t="s">
        <v>53</v>
      </c>
      <c r="C22" s="1"/>
      <c r="D22" s="1"/>
      <c r="G22" s="52"/>
      <c r="H22" s="61"/>
      <c r="I22" s="21"/>
      <c r="J22" s="21"/>
      <c r="K22" s="116"/>
      <c r="L22" s="52"/>
      <c r="M22" s="61"/>
      <c r="N22" s="61"/>
      <c r="O22" s="21"/>
      <c r="P22" s="61"/>
      <c r="Q22" s="116"/>
      <c r="R22" s="21"/>
      <c r="S22" s="21"/>
      <c r="T22" s="21"/>
      <c r="U22" s="121"/>
    </row>
    <row r="23" spans="1:22" outlineLevel="1" x14ac:dyDescent="0.5">
      <c r="B23" s="14"/>
      <c r="C23" s="2" t="s">
        <v>47</v>
      </c>
      <c r="D23" s="1"/>
      <c r="G23" s="52">
        <f t="shared" ref="G23:J26" si="4">CHOOSE($L$4,G67,G111,G155)</f>
        <v>0</v>
      </c>
      <c r="H23" s="61">
        <f t="shared" si="4"/>
        <v>0</v>
      </c>
      <c r="I23" s="21">
        <f t="shared" si="4"/>
        <v>0</v>
      </c>
      <c r="J23" s="21">
        <f t="shared" si="4"/>
        <v>0</v>
      </c>
      <c r="K23" s="116">
        <f>SUM(G23:J23)</f>
        <v>0</v>
      </c>
      <c r="L23" s="52">
        <f t="shared" ref="L23:P26" si="5">CHOOSE($L$4,L67,L111,L155)</f>
        <v>0</v>
      </c>
      <c r="M23" s="61">
        <f t="shared" si="5"/>
        <v>0</v>
      </c>
      <c r="N23" s="61">
        <f t="shared" si="5"/>
        <v>0.93</v>
      </c>
      <c r="O23" s="21">
        <f t="shared" si="5"/>
        <v>0</v>
      </c>
      <c r="P23" s="61">
        <f t="shared" si="5"/>
        <v>0</v>
      </c>
      <c r="Q23" s="116">
        <f t="shared" ref="Q23:Q26" si="6">SUM(L23:P23)</f>
        <v>0.93</v>
      </c>
      <c r="R23" s="21">
        <f t="shared" ref="R23:T26" si="7">CHOOSE($L$4,R67,R111,R155)</f>
        <v>7.0000000000000007E-2</v>
      </c>
      <c r="S23" s="21">
        <f t="shared" si="7"/>
        <v>0</v>
      </c>
      <c r="T23" s="21">
        <f t="shared" si="7"/>
        <v>0</v>
      </c>
      <c r="U23" s="121">
        <f>+SUM(K23,Q23:T23)</f>
        <v>1</v>
      </c>
    </row>
    <row r="24" spans="1:22" outlineLevel="1" x14ac:dyDescent="0.5">
      <c r="B24" s="85"/>
      <c r="C24" s="2" t="s">
        <v>48</v>
      </c>
      <c r="D24" s="1"/>
      <c r="E24" s="2"/>
      <c r="F24" s="2"/>
      <c r="G24" s="52">
        <f t="shared" si="4"/>
        <v>0</v>
      </c>
      <c r="H24" s="61">
        <f t="shared" si="4"/>
        <v>0</v>
      </c>
      <c r="I24" s="21">
        <f t="shared" si="4"/>
        <v>0</v>
      </c>
      <c r="J24" s="21">
        <f t="shared" si="4"/>
        <v>0</v>
      </c>
      <c r="K24" s="116">
        <f>SUM(G24:J24)</f>
        <v>0</v>
      </c>
      <c r="L24" s="61">
        <f t="shared" si="5"/>
        <v>0.9</v>
      </c>
      <c r="M24" s="61">
        <f t="shared" si="5"/>
        <v>0</v>
      </c>
      <c r="N24" s="61">
        <f t="shared" si="5"/>
        <v>0.03</v>
      </c>
      <c r="O24" s="21">
        <f t="shared" si="5"/>
        <v>0</v>
      </c>
      <c r="P24" s="61">
        <f t="shared" si="5"/>
        <v>0</v>
      </c>
      <c r="Q24" s="116">
        <f t="shared" si="6"/>
        <v>0.93</v>
      </c>
      <c r="R24" s="21">
        <f t="shared" si="7"/>
        <v>7.0000000000000007E-2</v>
      </c>
      <c r="S24" s="21">
        <f t="shared" si="7"/>
        <v>0</v>
      </c>
      <c r="T24" s="21">
        <f t="shared" si="7"/>
        <v>0</v>
      </c>
      <c r="U24" s="121">
        <f>+SUM(K24,Q24:T24)</f>
        <v>1</v>
      </c>
    </row>
    <row r="25" spans="1:22" outlineLevel="1" x14ac:dyDescent="0.5">
      <c r="B25" s="14" t="s">
        <v>46</v>
      </c>
      <c r="C25" s="2"/>
      <c r="D25" s="1"/>
      <c r="E25" s="2"/>
      <c r="F25" s="2"/>
      <c r="G25" s="52">
        <f t="shared" si="4"/>
        <v>0</v>
      </c>
      <c r="H25" s="61">
        <f t="shared" si="4"/>
        <v>0</v>
      </c>
      <c r="I25" s="21">
        <f t="shared" si="4"/>
        <v>0</v>
      </c>
      <c r="J25" s="21">
        <f t="shared" si="4"/>
        <v>0</v>
      </c>
      <c r="K25" s="116">
        <f>SUM(G25:J25)</f>
        <v>0</v>
      </c>
      <c r="L25" s="52">
        <f t="shared" si="5"/>
        <v>0.93</v>
      </c>
      <c r="M25" s="61">
        <f t="shared" si="5"/>
        <v>0</v>
      </c>
      <c r="N25" s="61">
        <f t="shared" si="5"/>
        <v>0</v>
      </c>
      <c r="O25" s="21">
        <f t="shared" si="5"/>
        <v>0</v>
      </c>
      <c r="P25" s="61">
        <f t="shared" si="5"/>
        <v>0</v>
      </c>
      <c r="Q25" s="116">
        <f t="shared" si="6"/>
        <v>0.93</v>
      </c>
      <c r="R25" s="21">
        <f t="shared" si="7"/>
        <v>7.0000000000000007E-2</v>
      </c>
      <c r="S25" s="21">
        <f t="shared" si="7"/>
        <v>0</v>
      </c>
      <c r="T25" s="21">
        <f t="shared" si="7"/>
        <v>0</v>
      </c>
      <c r="U25" s="121">
        <f>+SUM(K25,Q25:T25)</f>
        <v>1</v>
      </c>
    </row>
    <row r="26" spans="1:22" outlineLevel="1" x14ac:dyDescent="0.5">
      <c r="B26" s="14" t="s">
        <v>8</v>
      </c>
      <c r="C26" s="1"/>
      <c r="D26" s="1"/>
      <c r="E26" s="2"/>
      <c r="F26" s="2"/>
      <c r="G26" s="52">
        <f t="shared" si="4"/>
        <v>0</v>
      </c>
      <c r="H26" s="61">
        <f t="shared" si="4"/>
        <v>0</v>
      </c>
      <c r="I26" s="21">
        <f t="shared" si="4"/>
        <v>0.01</v>
      </c>
      <c r="J26" s="21">
        <f t="shared" si="4"/>
        <v>0</v>
      </c>
      <c r="K26" s="116">
        <f>SUM(G26:J26)</f>
        <v>0.01</v>
      </c>
      <c r="L26" s="52">
        <f t="shared" si="5"/>
        <v>0.255</v>
      </c>
      <c r="M26" s="61">
        <f t="shared" si="5"/>
        <v>0.7</v>
      </c>
      <c r="N26" s="61">
        <f t="shared" si="5"/>
        <v>2.5000000000000001E-2</v>
      </c>
      <c r="O26" s="21">
        <f t="shared" si="5"/>
        <v>0</v>
      </c>
      <c r="P26" s="61">
        <f t="shared" si="5"/>
        <v>0</v>
      </c>
      <c r="Q26" s="116">
        <f t="shared" si="6"/>
        <v>0.98</v>
      </c>
      <c r="R26" s="21">
        <f t="shared" si="7"/>
        <v>0.01</v>
      </c>
      <c r="S26" s="21">
        <f t="shared" si="7"/>
        <v>0</v>
      </c>
      <c r="T26" s="21">
        <f t="shared" si="7"/>
        <v>0</v>
      </c>
      <c r="U26" s="121">
        <f>+SUM(K26,Q26:T26)</f>
        <v>1</v>
      </c>
    </row>
    <row r="27" spans="1:22" ht="7.1" customHeight="1" outlineLevel="1" x14ac:dyDescent="0.5">
      <c r="B27" s="85"/>
      <c r="C27" s="1"/>
      <c r="D27" s="1"/>
      <c r="E27" s="2"/>
      <c r="F27" s="2"/>
      <c r="G27" s="52"/>
      <c r="H27" s="61"/>
      <c r="I27" s="21"/>
      <c r="J27" s="21"/>
      <c r="K27" s="116"/>
      <c r="L27" s="52"/>
      <c r="M27" s="61"/>
      <c r="N27" s="61"/>
      <c r="O27" s="21"/>
      <c r="P27" s="61"/>
      <c r="Q27" s="116"/>
      <c r="R27" s="21"/>
      <c r="S27" s="21"/>
      <c r="T27" s="21"/>
      <c r="U27" s="121"/>
    </row>
    <row r="28" spans="1:22" s="9" customFormat="1" outlineLevel="1" x14ac:dyDescent="0.5">
      <c r="A28" s="1"/>
      <c r="B28" s="84" t="s">
        <v>23</v>
      </c>
      <c r="G28" s="51"/>
      <c r="H28" s="62"/>
      <c r="I28" s="22"/>
      <c r="J28" s="22"/>
      <c r="K28" s="117"/>
      <c r="L28" s="51"/>
      <c r="M28" s="62"/>
      <c r="N28" s="62"/>
      <c r="O28" s="22"/>
      <c r="P28" s="62"/>
      <c r="Q28" s="117"/>
      <c r="R28" s="22"/>
      <c r="S28" s="22"/>
      <c r="T28" s="22"/>
      <c r="U28" s="71"/>
      <c r="V28" s="1"/>
    </row>
    <row r="29" spans="1:22" outlineLevel="1" x14ac:dyDescent="0.5">
      <c r="B29" s="14" t="s">
        <v>45</v>
      </c>
      <c r="C29" s="1"/>
      <c r="D29" s="1"/>
      <c r="E29" s="2"/>
      <c r="F29" s="2"/>
      <c r="G29" s="52">
        <f t="shared" ref="G29:J30" si="8">CHOOSE($L$4,G73,G117,G161)</f>
        <v>0</v>
      </c>
      <c r="H29" s="61">
        <f t="shared" si="8"/>
        <v>0.5</v>
      </c>
      <c r="I29" s="21">
        <f t="shared" si="8"/>
        <v>0</v>
      </c>
      <c r="J29" s="21">
        <f t="shared" si="8"/>
        <v>0</v>
      </c>
      <c r="K29" s="116">
        <f>SUM(G29:J29)</f>
        <v>0.5</v>
      </c>
      <c r="L29" s="52">
        <f t="shared" ref="L29:P30" si="9">CHOOSE($L$4,L73,L117,L161)</f>
        <v>0</v>
      </c>
      <c r="M29" s="61">
        <f t="shared" si="9"/>
        <v>0</v>
      </c>
      <c r="N29" s="61">
        <f t="shared" si="9"/>
        <v>0</v>
      </c>
      <c r="O29" s="21">
        <f t="shared" si="9"/>
        <v>0</v>
      </c>
      <c r="P29" s="61">
        <f t="shared" si="9"/>
        <v>0.5</v>
      </c>
      <c r="Q29" s="116">
        <f t="shared" ref="Q29:Q30" si="10">SUM(L29:P29)</f>
        <v>0.5</v>
      </c>
      <c r="R29" s="21">
        <f t="shared" ref="R29:T30" si="11">CHOOSE($L$4,R73,R117,R161)</f>
        <v>0</v>
      </c>
      <c r="S29" s="21">
        <f t="shared" si="11"/>
        <v>0</v>
      </c>
      <c r="T29" s="21">
        <f t="shared" si="11"/>
        <v>0</v>
      </c>
      <c r="U29" s="121">
        <f>+SUM(K29,Q29:T29)</f>
        <v>1</v>
      </c>
    </row>
    <row r="30" spans="1:22" outlineLevel="1" x14ac:dyDescent="0.5">
      <c r="B30" s="14" t="s">
        <v>9</v>
      </c>
      <c r="C30" s="1"/>
      <c r="D30" s="1"/>
      <c r="E30" s="2"/>
      <c r="F30" s="2"/>
      <c r="G30" s="52">
        <f t="shared" si="8"/>
        <v>1</v>
      </c>
      <c r="H30" s="61">
        <f t="shared" si="8"/>
        <v>0</v>
      </c>
      <c r="I30" s="21">
        <f t="shared" si="8"/>
        <v>0</v>
      </c>
      <c r="J30" s="21">
        <f t="shared" si="8"/>
        <v>0</v>
      </c>
      <c r="K30" s="116">
        <f>SUM(G30:J30)</f>
        <v>1</v>
      </c>
      <c r="L30" s="52">
        <f t="shared" si="9"/>
        <v>0</v>
      </c>
      <c r="M30" s="61">
        <f t="shared" si="9"/>
        <v>0</v>
      </c>
      <c r="N30" s="61">
        <f t="shared" si="9"/>
        <v>0</v>
      </c>
      <c r="O30" s="21">
        <f t="shared" si="9"/>
        <v>0</v>
      </c>
      <c r="P30" s="61">
        <f t="shared" si="9"/>
        <v>0</v>
      </c>
      <c r="Q30" s="116">
        <f t="shared" si="10"/>
        <v>0</v>
      </c>
      <c r="R30" s="21">
        <f t="shared" si="11"/>
        <v>0</v>
      </c>
      <c r="S30" s="21">
        <f t="shared" si="11"/>
        <v>0</v>
      </c>
      <c r="T30" s="21">
        <f t="shared" si="11"/>
        <v>0</v>
      </c>
      <c r="U30" s="121">
        <f>+SUM(K30,Q30:T30)</f>
        <v>1</v>
      </c>
    </row>
    <row r="31" spans="1:22" ht="7.1" customHeight="1" outlineLevel="1" x14ac:dyDescent="0.5">
      <c r="B31" s="85"/>
      <c r="C31" s="1"/>
      <c r="D31" s="1"/>
      <c r="G31" s="52"/>
      <c r="H31" s="61"/>
      <c r="I31" s="21"/>
      <c r="J31" s="21"/>
      <c r="K31" s="116"/>
      <c r="L31" s="52"/>
      <c r="M31" s="61"/>
      <c r="N31" s="61"/>
      <c r="O31" s="21"/>
      <c r="P31" s="61"/>
      <c r="Q31" s="116"/>
      <c r="R31" s="21"/>
      <c r="S31" s="21"/>
      <c r="T31" s="21"/>
      <c r="U31" s="121"/>
    </row>
    <row r="32" spans="1:22" s="9" customFormat="1" outlineLevel="1" x14ac:dyDescent="0.5">
      <c r="A32" s="1"/>
      <c r="B32" s="84" t="s">
        <v>10</v>
      </c>
      <c r="G32" s="51"/>
      <c r="H32" s="62"/>
      <c r="I32" s="22"/>
      <c r="J32" s="22"/>
      <c r="K32" s="117"/>
      <c r="L32" s="51"/>
      <c r="M32" s="62"/>
      <c r="N32" s="62"/>
      <c r="O32" s="22"/>
      <c r="P32" s="62"/>
      <c r="Q32" s="117"/>
      <c r="R32" s="22"/>
      <c r="S32" s="22"/>
      <c r="T32" s="22"/>
      <c r="U32" s="71"/>
      <c r="V32" s="1"/>
    </row>
    <row r="33" spans="1:22" outlineLevel="1" x14ac:dyDescent="0.5">
      <c r="B33" s="14" t="s">
        <v>49</v>
      </c>
      <c r="D33" s="1"/>
      <c r="G33" s="52">
        <f t="shared" ref="G33:J34" si="12">CHOOSE($L$4,G77,G121,G165)</f>
        <v>0.78</v>
      </c>
      <c r="H33" s="61">
        <f t="shared" si="12"/>
        <v>0</v>
      </c>
      <c r="I33" s="21">
        <f t="shared" si="12"/>
        <v>0</v>
      </c>
      <c r="J33" s="21">
        <f t="shared" si="12"/>
        <v>0</v>
      </c>
      <c r="K33" s="116">
        <f>SUM(G33:J33)</f>
        <v>0.78</v>
      </c>
      <c r="L33" s="52">
        <f t="shared" ref="L33:P34" si="13">CHOOSE($L$4,L77,L121,L165)</f>
        <v>0</v>
      </c>
      <c r="M33" s="61">
        <f t="shared" si="13"/>
        <v>0</v>
      </c>
      <c r="N33" s="61">
        <f t="shared" si="13"/>
        <v>0</v>
      </c>
      <c r="O33" s="21">
        <f t="shared" si="13"/>
        <v>0.22</v>
      </c>
      <c r="P33" s="61">
        <f t="shared" si="13"/>
        <v>0</v>
      </c>
      <c r="Q33" s="116">
        <f t="shared" ref="Q33:Q34" si="14">SUM(L33:P33)</f>
        <v>0.22</v>
      </c>
      <c r="R33" s="21">
        <f t="shared" ref="R33:T34" si="15">CHOOSE($L$4,R77,R121,R165)</f>
        <v>0</v>
      </c>
      <c r="S33" s="21">
        <f t="shared" si="15"/>
        <v>0</v>
      </c>
      <c r="T33" s="21">
        <f t="shared" si="15"/>
        <v>0</v>
      </c>
      <c r="U33" s="121">
        <f>+SUM(K33,Q33:T33)</f>
        <v>1</v>
      </c>
    </row>
    <row r="34" spans="1:22" outlineLevel="1" x14ac:dyDescent="0.5">
      <c r="B34" s="14" t="s">
        <v>50</v>
      </c>
      <c r="D34" s="1"/>
      <c r="G34" s="52">
        <f t="shared" si="12"/>
        <v>0.39</v>
      </c>
      <c r="H34" s="61">
        <f t="shared" si="12"/>
        <v>0</v>
      </c>
      <c r="I34" s="21">
        <f t="shared" si="12"/>
        <v>0</v>
      </c>
      <c r="J34" s="21">
        <f t="shared" si="12"/>
        <v>0</v>
      </c>
      <c r="K34" s="116">
        <f>SUM(G34:J34)</f>
        <v>0.39</v>
      </c>
      <c r="L34" s="52">
        <f t="shared" si="13"/>
        <v>0.17499999999999999</v>
      </c>
      <c r="M34" s="61">
        <f t="shared" si="13"/>
        <v>0.17499999999999999</v>
      </c>
      <c r="N34" s="61">
        <f t="shared" si="13"/>
        <v>0.01</v>
      </c>
      <c r="O34" s="21">
        <f t="shared" si="13"/>
        <v>0.22</v>
      </c>
      <c r="P34" s="61">
        <f t="shared" si="13"/>
        <v>0</v>
      </c>
      <c r="Q34" s="116">
        <f t="shared" si="14"/>
        <v>0.57999999999999996</v>
      </c>
      <c r="R34" s="21">
        <f t="shared" si="15"/>
        <v>0.03</v>
      </c>
      <c r="S34" s="21">
        <f t="shared" si="15"/>
        <v>0</v>
      </c>
      <c r="T34" s="21">
        <f t="shared" si="15"/>
        <v>0</v>
      </c>
      <c r="U34" s="290">
        <f>+SUM(K34,Q34:T34)</f>
        <v>1</v>
      </c>
    </row>
    <row r="35" spans="1:22" ht="7.1" customHeight="1" outlineLevel="1" x14ac:dyDescent="0.5">
      <c r="B35" s="85"/>
      <c r="C35" s="1"/>
      <c r="D35" s="1"/>
      <c r="G35" s="52"/>
      <c r="H35" s="61"/>
      <c r="I35" s="21"/>
      <c r="J35" s="21"/>
      <c r="K35" s="116"/>
      <c r="L35" s="52"/>
      <c r="M35" s="61"/>
      <c r="N35" s="61"/>
      <c r="O35" s="21"/>
      <c r="P35" s="61"/>
      <c r="Q35" s="116"/>
      <c r="R35" s="21"/>
      <c r="S35" s="21"/>
      <c r="T35" s="21"/>
      <c r="U35" s="121"/>
    </row>
    <row r="36" spans="1:22" s="9" customFormat="1" outlineLevel="1" x14ac:dyDescent="0.5">
      <c r="A36" s="1"/>
      <c r="B36" s="84" t="s">
        <v>24</v>
      </c>
      <c r="G36" s="51"/>
      <c r="H36" s="62"/>
      <c r="I36" s="22"/>
      <c r="J36" s="22"/>
      <c r="K36" s="117"/>
      <c r="L36" s="51"/>
      <c r="M36" s="62"/>
      <c r="N36" s="62"/>
      <c r="O36" s="22"/>
      <c r="P36" s="62"/>
      <c r="Q36" s="117"/>
      <c r="R36" s="22"/>
      <c r="S36" s="22"/>
      <c r="T36" s="22"/>
      <c r="U36" s="71"/>
      <c r="V36" s="1"/>
    </row>
    <row r="37" spans="1:22" outlineLevel="1" x14ac:dyDescent="0.5">
      <c r="B37" s="14" t="s">
        <v>12</v>
      </c>
      <c r="C37" s="1"/>
      <c r="D37" s="1"/>
      <c r="G37" s="52"/>
      <c r="H37" s="61"/>
      <c r="I37" s="21"/>
      <c r="J37" s="21"/>
      <c r="K37" s="116"/>
      <c r="L37" s="52"/>
      <c r="M37" s="61"/>
      <c r="N37" s="61"/>
      <c r="O37" s="21"/>
      <c r="P37" s="61"/>
      <c r="Q37" s="116"/>
      <c r="R37" s="21"/>
      <c r="S37" s="21"/>
      <c r="T37" s="21"/>
      <c r="U37" s="121"/>
    </row>
    <row r="38" spans="1:22" outlineLevel="1" x14ac:dyDescent="0.5">
      <c r="B38" s="85"/>
      <c r="C38" s="2" t="s">
        <v>13</v>
      </c>
      <c r="D38" s="2"/>
      <c r="E38" s="2"/>
      <c r="F38" s="2"/>
      <c r="G38" s="52">
        <f>CHOOSE($L$4,G82,G126,G170)</f>
        <v>0.25</v>
      </c>
      <c r="H38" s="61">
        <f>CHOOSE($L$4,H82,H126,H170)</f>
        <v>0</v>
      </c>
      <c r="I38" s="21">
        <f>CHOOSE($L$4,I82,I126,I170)</f>
        <v>0.25</v>
      </c>
      <c r="J38" s="21">
        <f>CHOOSE($L$4,J82,J126,J170)</f>
        <v>0.25</v>
      </c>
      <c r="K38" s="116">
        <f>SUM(G38:J38)</f>
        <v>0.75</v>
      </c>
      <c r="L38" s="61">
        <f>CHOOSE($L$4,L82,L126,L170)</f>
        <v>0</v>
      </c>
      <c r="M38" s="61">
        <f>CHOOSE($L$4,M82,M126,M170)</f>
        <v>0</v>
      </c>
      <c r="N38" s="61">
        <f>CHOOSE($L$4,N82,N126,N170)</f>
        <v>0</v>
      </c>
      <c r="O38" s="21">
        <f>CHOOSE($L$4,O82,O126,O170)</f>
        <v>0.25</v>
      </c>
      <c r="P38" s="61">
        <f>CHOOSE($L$4,P82,P126,P170)</f>
        <v>0</v>
      </c>
      <c r="Q38" s="116">
        <f t="shared" ref="Q38" si="16">SUM(L38:P38)</f>
        <v>0.25</v>
      </c>
      <c r="R38" s="21">
        <f>CHOOSE($L$4,R82,R126,R170)</f>
        <v>0</v>
      </c>
      <c r="S38" s="21">
        <f>CHOOSE($L$4,S82,S126,S170)</f>
        <v>0</v>
      </c>
      <c r="T38" s="21">
        <f>CHOOSE($L$4,T82,T126,T170)</f>
        <v>0</v>
      </c>
      <c r="U38" s="121">
        <f>+SUM(K38,Q38:T38)</f>
        <v>1</v>
      </c>
    </row>
    <row r="39" spans="1:22" outlineLevel="1" x14ac:dyDescent="0.5">
      <c r="B39" s="13" t="s">
        <v>14</v>
      </c>
      <c r="C39" s="1"/>
      <c r="D39" s="1"/>
      <c r="G39" s="52"/>
      <c r="H39" s="61"/>
      <c r="I39" s="21"/>
      <c r="J39" s="21"/>
      <c r="K39" s="116"/>
      <c r="L39" s="52"/>
      <c r="M39" s="61"/>
      <c r="N39" s="61"/>
      <c r="O39" s="21"/>
      <c r="P39" s="61"/>
      <c r="Q39" s="116"/>
      <c r="R39" s="21"/>
      <c r="S39" s="21"/>
      <c r="T39" s="21"/>
      <c r="U39" s="121"/>
    </row>
    <row r="40" spans="1:22" outlineLevel="1" x14ac:dyDescent="0.5">
      <c r="B40" s="13"/>
      <c r="C40" s="2" t="s">
        <v>15</v>
      </c>
      <c r="D40" s="1"/>
      <c r="G40" s="52">
        <f t="shared" ref="G40:J43" si="17">CHOOSE($L$4,G84,G128,G172)</f>
        <v>0</v>
      </c>
      <c r="H40" s="61">
        <f t="shared" si="17"/>
        <v>0</v>
      </c>
      <c r="I40" s="21">
        <f t="shared" si="17"/>
        <v>0</v>
      </c>
      <c r="J40" s="21">
        <f t="shared" si="17"/>
        <v>0</v>
      </c>
      <c r="K40" s="116">
        <f>SUM(G40:J40)</f>
        <v>0</v>
      </c>
      <c r="L40" s="61">
        <f t="shared" ref="L40:P43" si="18">CHOOSE($L$4,L84,L128,L172)</f>
        <v>0</v>
      </c>
      <c r="M40" s="61">
        <f t="shared" si="18"/>
        <v>0.46500000000000002</v>
      </c>
      <c r="N40" s="61">
        <f t="shared" si="18"/>
        <v>0.46500000000000002</v>
      </c>
      <c r="O40" s="21">
        <f t="shared" si="18"/>
        <v>0</v>
      </c>
      <c r="P40" s="61">
        <f t="shared" si="18"/>
        <v>0</v>
      </c>
      <c r="Q40" s="116">
        <f t="shared" ref="Q40:Q43" si="19">SUM(L40:P40)</f>
        <v>0.93</v>
      </c>
      <c r="R40" s="21">
        <f t="shared" ref="R40:T43" si="20">CHOOSE($L$4,R84,R128,R172)</f>
        <v>7.0000000000000007E-2</v>
      </c>
      <c r="S40" s="21">
        <f t="shared" si="20"/>
        <v>0</v>
      </c>
      <c r="T40" s="21">
        <f t="shared" si="20"/>
        <v>0</v>
      </c>
      <c r="U40" s="121">
        <f>+SUM(K40,Q40:T40)</f>
        <v>1</v>
      </c>
    </row>
    <row r="41" spans="1:22" outlineLevel="1" x14ac:dyDescent="0.5">
      <c r="B41" s="13"/>
      <c r="C41" s="2" t="s">
        <v>16</v>
      </c>
      <c r="D41" s="1"/>
      <c r="G41" s="194">
        <f t="shared" si="17"/>
        <v>3.5000000000000003E-2</v>
      </c>
      <c r="H41" s="61">
        <f t="shared" si="17"/>
        <v>3.5000000000000003E-2</v>
      </c>
      <c r="I41" s="21">
        <f t="shared" si="17"/>
        <v>0</v>
      </c>
      <c r="J41" s="21">
        <f t="shared" si="17"/>
        <v>0</v>
      </c>
      <c r="K41" s="116">
        <f>SUM(G41:J41)</f>
        <v>7.0000000000000007E-2</v>
      </c>
      <c r="L41" s="61">
        <f t="shared" si="18"/>
        <v>0</v>
      </c>
      <c r="M41" s="61">
        <f t="shared" si="18"/>
        <v>0.69</v>
      </c>
      <c r="N41" s="61">
        <f t="shared" si="18"/>
        <v>0</v>
      </c>
      <c r="O41" s="21">
        <f t="shared" si="18"/>
        <v>0</v>
      </c>
      <c r="P41" s="61">
        <f t="shared" si="18"/>
        <v>0</v>
      </c>
      <c r="Q41" s="116">
        <f t="shared" si="19"/>
        <v>0.69</v>
      </c>
      <c r="R41" s="21">
        <f t="shared" si="20"/>
        <v>0.24</v>
      </c>
      <c r="S41" s="21">
        <f t="shared" si="20"/>
        <v>0</v>
      </c>
      <c r="T41" s="21">
        <f t="shared" si="20"/>
        <v>0</v>
      </c>
      <c r="U41" s="121">
        <f>+SUM(K41,Q41:T41)</f>
        <v>1</v>
      </c>
    </row>
    <row r="42" spans="1:22" outlineLevel="1" x14ac:dyDescent="0.5">
      <c r="B42" s="13"/>
      <c r="C42" s="2" t="s">
        <v>17</v>
      </c>
      <c r="D42" s="1"/>
      <c r="G42" s="52">
        <f t="shared" si="17"/>
        <v>0</v>
      </c>
      <c r="H42" s="61">
        <f t="shared" si="17"/>
        <v>0</v>
      </c>
      <c r="I42" s="21">
        <f t="shared" si="17"/>
        <v>0</v>
      </c>
      <c r="J42" s="21">
        <f t="shared" si="17"/>
        <v>0</v>
      </c>
      <c r="K42" s="116">
        <f>SUM(G42:J42)</f>
        <v>0</v>
      </c>
      <c r="L42" s="61">
        <f t="shared" si="18"/>
        <v>0</v>
      </c>
      <c r="M42" s="61">
        <f t="shared" si="18"/>
        <v>0.5</v>
      </c>
      <c r="N42" s="61">
        <f t="shared" si="18"/>
        <v>0</v>
      </c>
      <c r="O42" s="21">
        <f t="shared" si="18"/>
        <v>0</v>
      </c>
      <c r="P42" s="61">
        <f t="shared" si="18"/>
        <v>0</v>
      </c>
      <c r="Q42" s="116">
        <f t="shared" si="19"/>
        <v>0.5</v>
      </c>
      <c r="R42" s="21">
        <f t="shared" si="20"/>
        <v>0</v>
      </c>
      <c r="S42" s="21">
        <f t="shared" si="20"/>
        <v>0</v>
      </c>
      <c r="T42" s="21">
        <f t="shared" si="20"/>
        <v>0.5</v>
      </c>
      <c r="U42" s="121">
        <f>+SUM(K42,Q42:T42)</f>
        <v>1</v>
      </c>
    </row>
    <row r="43" spans="1:22" outlineLevel="1" x14ac:dyDescent="0.5">
      <c r="B43" s="85"/>
      <c r="C43" s="2" t="s">
        <v>18</v>
      </c>
      <c r="D43" s="1"/>
      <c r="G43" s="52">
        <f t="shared" si="17"/>
        <v>0</v>
      </c>
      <c r="H43" s="61">
        <f t="shared" si="17"/>
        <v>0</v>
      </c>
      <c r="I43" s="21">
        <f t="shared" si="17"/>
        <v>0</v>
      </c>
      <c r="J43" s="21">
        <f t="shared" si="17"/>
        <v>0</v>
      </c>
      <c r="K43" s="116">
        <f>SUM(G43:J43)</f>
        <v>0</v>
      </c>
      <c r="L43" s="61">
        <f t="shared" si="18"/>
        <v>0</v>
      </c>
      <c r="M43" s="61">
        <f t="shared" si="18"/>
        <v>0</v>
      </c>
      <c r="N43" s="61">
        <f t="shared" si="18"/>
        <v>0</v>
      </c>
      <c r="O43" s="21">
        <f t="shared" si="18"/>
        <v>0</v>
      </c>
      <c r="P43" s="61">
        <f t="shared" si="18"/>
        <v>0</v>
      </c>
      <c r="Q43" s="116">
        <f t="shared" si="19"/>
        <v>0</v>
      </c>
      <c r="R43" s="21">
        <f t="shared" si="20"/>
        <v>0</v>
      </c>
      <c r="S43" s="21">
        <f t="shared" si="20"/>
        <v>0</v>
      </c>
      <c r="T43" s="21">
        <f t="shared" si="20"/>
        <v>1</v>
      </c>
      <c r="U43" s="121">
        <f>+SUM(K43,Q43:T43)</f>
        <v>1</v>
      </c>
    </row>
    <row r="44" spans="1:22" ht="7.1" customHeight="1" outlineLevel="1" x14ac:dyDescent="0.5">
      <c r="B44" s="85"/>
      <c r="C44" s="1"/>
      <c r="D44" s="1"/>
      <c r="G44" s="52"/>
      <c r="H44" s="61"/>
      <c r="I44" s="21"/>
      <c r="J44" s="21"/>
      <c r="K44" s="116"/>
      <c r="L44" s="52"/>
      <c r="M44" s="61"/>
      <c r="N44" s="61"/>
      <c r="O44" s="21"/>
      <c r="P44" s="61"/>
      <c r="Q44" s="116"/>
      <c r="R44" s="21"/>
      <c r="S44" s="21"/>
      <c r="T44" s="21"/>
      <c r="U44" s="121"/>
    </row>
    <row r="45" spans="1:22" s="9" customFormat="1" outlineLevel="1" x14ac:dyDescent="0.5">
      <c r="A45" s="1"/>
      <c r="B45" s="86" t="s">
        <v>19</v>
      </c>
      <c r="E45" s="11"/>
      <c r="F45" s="11"/>
      <c r="G45" s="51"/>
      <c r="H45" s="62"/>
      <c r="I45" s="22"/>
      <c r="J45" s="22"/>
      <c r="K45" s="117"/>
      <c r="L45" s="51"/>
      <c r="M45" s="62"/>
      <c r="N45" s="62"/>
      <c r="O45" s="22"/>
      <c r="P45" s="62"/>
      <c r="Q45" s="117"/>
      <c r="R45" s="22"/>
      <c r="S45" s="22"/>
      <c r="T45" s="22"/>
      <c r="U45" s="71"/>
      <c r="V45" s="1"/>
    </row>
    <row r="46" spans="1:22" outlineLevel="1" x14ac:dyDescent="0.5">
      <c r="B46" s="14" t="s">
        <v>19</v>
      </c>
      <c r="C46" s="1"/>
      <c r="D46" s="1"/>
      <c r="E46" s="2"/>
      <c r="F46" s="2"/>
      <c r="G46" s="52">
        <f>CHOOSE($L$4,G90,G134,G178)</f>
        <v>0</v>
      </c>
      <c r="H46" s="61">
        <f>CHOOSE($L$4,H90,H134,H178)</f>
        <v>1</v>
      </c>
      <c r="I46" s="21">
        <f>CHOOSE($L$4,I90,I134,I178)</f>
        <v>0</v>
      </c>
      <c r="J46" s="21">
        <f>CHOOSE($L$4,J90,J134,J178)</f>
        <v>0</v>
      </c>
      <c r="K46" s="116">
        <f>SUM(G46:J46)</f>
        <v>1</v>
      </c>
      <c r="L46" s="61">
        <f>CHOOSE($L$4,L90,L134,L178)</f>
        <v>0</v>
      </c>
      <c r="M46" s="61">
        <f>CHOOSE($L$4,M90,M134,M178)</f>
        <v>0</v>
      </c>
      <c r="N46" s="61">
        <f>CHOOSE($L$4,N90,N134,N178)</f>
        <v>0</v>
      </c>
      <c r="O46" s="21">
        <f>CHOOSE($L$4,O90,O134,O178)</f>
        <v>0</v>
      </c>
      <c r="P46" s="61">
        <f>CHOOSE($L$4,P90,P134,P178)</f>
        <v>0</v>
      </c>
      <c r="Q46" s="116">
        <f t="shared" ref="Q46" si="21">SUM(L46:P46)</f>
        <v>0</v>
      </c>
      <c r="R46" s="21">
        <f>CHOOSE($L$4,R90,R134,R178)</f>
        <v>0</v>
      </c>
      <c r="S46" s="21">
        <f>CHOOSE($L$4,S90,S134,S178)</f>
        <v>0</v>
      </c>
      <c r="T46" s="21">
        <f>CHOOSE($L$4,T90,T134,T178)</f>
        <v>0</v>
      </c>
      <c r="U46" s="121">
        <f>+SUM(K46,Q46:T46)</f>
        <v>1</v>
      </c>
    </row>
    <row r="47" spans="1:22" ht="7.1" customHeight="1" outlineLevel="1" x14ac:dyDescent="0.5">
      <c r="B47" s="14"/>
      <c r="C47" s="1"/>
      <c r="D47" s="1"/>
      <c r="E47" s="2"/>
      <c r="F47" s="2"/>
      <c r="G47" s="52"/>
      <c r="H47" s="61"/>
      <c r="I47" s="21"/>
      <c r="J47" s="21"/>
      <c r="K47" s="116"/>
      <c r="L47" s="52"/>
      <c r="M47" s="61"/>
      <c r="N47" s="61"/>
      <c r="O47" s="21"/>
      <c r="P47" s="61"/>
      <c r="Q47" s="116"/>
      <c r="R47" s="21"/>
      <c r="S47" s="21"/>
      <c r="T47" s="21"/>
      <c r="U47" s="121"/>
    </row>
    <row r="48" spans="1:22" s="9" customFormat="1" outlineLevel="1" x14ac:dyDescent="0.5">
      <c r="A48" s="1"/>
      <c r="B48" s="86" t="s">
        <v>25</v>
      </c>
      <c r="G48" s="51"/>
      <c r="H48" s="62"/>
      <c r="I48" s="22"/>
      <c r="J48" s="22"/>
      <c r="K48" s="117"/>
      <c r="L48" s="51"/>
      <c r="M48" s="62"/>
      <c r="N48" s="62"/>
      <c r="O48" s="22"/>
      <c r="P48" s="62"/>
      <c r="Q48" s="117"/>
      <c r="R48" s="22"/>
      <c r="S48" s="22"/>
      <c r="T48" s="22"/>
      <c r="U48" s="71"/>
      <c r="V48" s="1"/>
    </row>
    <row r="49" spans="1:22" outlineLevel="1" x14ac:dyDescent="0.5">
      <c r="B49" s="14" t="s">
        <v>25</v>
      </c>
      <c r="C49" s="1"/>
      <c r="D49" s="1"/>
      <c r="G49" s="52">
        <f>CHOOSE($L$4,G93,G137,G181)</f>
        <v>0.9</v>
      </c>
      <c r="H49" s="61">
        <f>CHOOSE($L$4,H93,H137,H181)</f>
        <v>0</v>
      </c>
      <c r="I49" s="21">
        <f>CHOOSE($L$4,I93,I137,I181)</f>
        <v>0</v>
      </c>
      <c r="J49" s="21">
        <f>CHOOSE($L$4,J93,J137,J181)</f>
        <v>0</v>
      </c>
      <c r="K49" s="116">
        <f>SUM(G49:J49)</f>
        <v>0.9</v>
      </c>
      <c r="L49" s="52">
        <f>CHOOSE($L$4,L93,L137,L181)</f>
        <v>0</v>
      </c>
      <c r="M49" s="61">
        <f>CHOOSE($L$4,M93,M137,M181)</f>
        <v>0</v>
      </c>
      <c r="N49" s="61">
        <f>CHOOSE($L$4,N93,N137,N181)</f>
        <v>0</v>
      </c>
      <c r="O49" s="21">
        <f>CHOOSE($L$4,O93,O137,O181)</f>
        <v>0</v>
      </c>
      <c r="P49" s="61">
        <f>CHOOSE($L$4,P93,P137,P181)</f>
        <v>0</v>
      </c>
      <c r="Q49" s="116">
        <f t="shared" ref="Q49" si="22">SUM(L49:P49)</f>
        <v>0</v>
      </c>
      <c r="R49" s="21">
        <f>CHOOSE($L$4,R93,R137,R181)</f>
        <v>0</v>
      </c>
      <c r="S49" s="21">
        <f>CHOOSE($L$4,S93,S137,S181)</f>
        <v>0.1</v>
      </c>
      <c r="T49" s="21">
        <f>CHOOSE($L$4,T93,T137,T181)</f>
        <v>0</v>
      </c>
      <c r="U49" s="121">
        <f>+SUM(K49,Q49:T49)</f>
        <v>1</v>
      </c>
    </row>
    <row r="50" spans="1:22" ht="7.1" customHeight="1" outlineLevel="1" x14ac:dyDescent="0.5">
      <c r="B50" s="14"/>
      <c r="C50" s="1"/>
      <c r="D50" s="1"/>
      <c r="G50" s="52"/>
      <c r="H50" s="61"/>
      <c r="I50" s="21"/>
      <c r="J50" s="21"/>
      <c r="K50" s="116"/>
      <c r="L50" s="52"/>
      <c r="M50" s="61"/>
      <c r="N50" s="61"/>
      <c r="O50" s="21"/>
      <c r="P50" s="61"/>
      <c r="Q50" s="116"/>
      <c r="R50" s="21"/>
      <c r="S50" s="21"/>
      <c r="T50" s="21"/>
      <c r="U50" s="121"/>
    </row>
    <row r="51" spans="1:22" s="9" customFormat="1" outlineLevel="1" x14ac:dyDescent="0.5">
      <c r="A51" s="1"/>
      <c r="B51" s="86" t="s">
        <v>4</v>
      </c>
      <c r="G51" s="51"/>
      <c r="H51" s="62"/>
      <c r="I51" s="22"/>
      <c r="J51" s="22"/>
      <c r="K51" s="117"/>
      <c r="L51" s="51"/>
      <c r="M51" s="62"/>
      <c r="N51" s="62"/>
      <c r="O51" s="22"/>
      <c r="P51" s="62"/>
      <c r="Q51" s="117"/>
      <c r="R51" s="22"/>
      <c r="S51" s="22"/>
      <c r="T51" s="22"/>
      <c r="U51" s="71"/>
      <c r="V51" s="1"/>
    </row>
    <row r="52" spans="1:22" outlineLevel="1" x14ac:dyDescent="0.5">
      <c r="B52" s="14" t="s">
        <v>20</v>
      </c>
      <c r="C52" s="1"/>
      <c r="D52" s="1"/>
      <c r="E52" s="2"/>
      <c r="F52" s="2"/>
      <c r="G52" s="52">
        <f t="shared" ref="G52:J54" si="23">CHOOSE($L$4,G96,G140,G184)</f>
        <v>0.97</v>
      </c>
      <c r="H52" s="61">
        <f t="shared" si="23"/>
        <v>0.02</v>
      </c>
      <c r="I52" s="21">
        <f t="shared" si="23"/>
        <v>0</v>
      </c>
      <c r="J52" s="21">
        <f t="shared" si="23"/>
        <v>0.01</v>
      </c>
      <c r="K52" s="116">
        <f>SUM(G52:J52)</f>
        <v>1</v>
      </c>
      <c r="L52" s="52">
        <f t="shared" ref="L52:P54" si="24">CHOOSE($L$4,L96,L140,L184)</f>
        <v>0</v>
      </c>
      <c r="M52" s="61">
        <f t="shared" si="24"/>
        <v>0</v>
      </c>
      <c r="N52" s="61">
        <f t="shared" si="24"/>
        <v>0</v>
      </c>
      <c r="O52" s="21">
        <f t="shared" si="24"/>
        <v>0</v>
      </c>
      <c r="P52" s="61">
        <f t="shared" si="24"/>
        <v>0</v>
      </c>
      <c r="Q52" s="116">
        <f t="shared" ref="Q52:Q54" si="25">SUM(L52:P52)</f>
        <v>0</v>
      </c>
      <c r="R52" s="21">
        <f t="shared" ref="R52:T54" si="26">CHOOSE($L$4,R96,R140,R184)</f>
        <v>0</v>
      </c>
      <c r="S52" s="21">
        <f t="shared" si="26"/>
        <v>0</v>
      </c>
      <c r="T52" s="21">
        <f t="shared" si="26"/>
        <v>0</v>
      </c>
      <c r="U52" s="121">
        <f>+SUM(K52,Q52:T52)</f>
        <v>1</v>
      </c>
    </row>
    <row r="53" spans="1:22" outlineLevel="1" x14ac:dyDescent="0.5">
      <c r="B53" s="14" t="s">
        <v>11</v>
      </c>
      <c r="C53" s="1"/>
      <c r="D53" s="1"/>
      <c r="E53" s="2"/>
      <c r="F53" s="2"/>
      <c r="G53" s="52">
        <f t="shared" si="23"/>
        <v>7.0000000000000007E-2</v>
      </c>
      <c r="H53" s="61">
        <f t="shared" si="23"/>
        <v>0</v>
      </c>
      <c r="I53" s="21">
        <f t="shared" si="23"/>
        <v>0</v>
      </c>
      <c r="J53" s="21">
        <f t="shared" si="23"/>
        <v>0</v>
      </c>
      <c r="K53" s="116">
        <f>SUM(G53:J53)</f>
        <v>7.0000000000000007E-2</v>
      </c>
      <c r="L53" s="52">
        <f t="shared" si="24"/>
        <v>0</v>
      </c>
      <c r="M53" s="61">
        <f t="shared" si="24"/>
        <v>0.26</v>
      </c>
      <c r="N53" s="61">
        <f t="shared" si="24"/>
        <v>0.26</v>
      </c>
      <c r="O53" s="21">
        <f t="shared" si="24"/>
        <v>0.4</v>
      </c>
      <c r="P53" s="61">
        <f t="shared" si="24"/>
        <v>0</v>
      </c>
      <c r="Q53" s="116">
        <f t="shared" si="25"/>
        <v>0.92</v>
      </c>
      <c r="R53" s="21">
        <f t="shared" si="26"/>
        <v>0.01</v>
      </c>
      <c r="S53" s="21">
        <f t="shared" si="26"/>
        <v>0</v>
      </c>
      <c r="T53" s="21">
        <f t="shared" si="26"/>
        <v>0</v>
      </c>
      <c r="U53" s="121">
        <f>+SUM(K53,Q53:T53)</f>
        <v>1</v>
      </c>
    </row>
    <row r="54" spans="1:22" ht="14.7" outlineLevel="1" thickBot="1" x14ac:dyDescent="0.55000000000000004">
      <c r="B54" s="38" t="s">
        <v>55</v>
      </c>
      <c r="C54" s="16"/>
      <c r="D54" s="16"/>
      <c r="E54" s="15"/>
      <c r="F54" s="15"/>
      <c r="G54" s="63">
        <f t="shared" si="23"/>
        <v>0</v>
      </c>
      <c r="H54" s="23">
        <f t="shared" si="23"/>
        <v>1</v>
      </c>
      <c r="I54" s="23">
        <f t="shared" si="23"/>
        <v>0</v>
      </c>
      <c r="J54" s="23">
        <f t="shared" si="23"/>
        <v>0</v>
      </c>
      <c r="K54" s="118">
        <f>SUM(G54:J54)</f>
        <v>1</v>
      </c>
      <c r="L54" s="63">
        <f t="shared" si="24"/>
        <v>0</v>
      </c>
      <c r="M54" s="23">
        <f t="shared" si="24"/>
        <v>0</v>
      </c>
      <c r="N54" s="23">
        <f t="shared" si="24"/>
        <v>0</v>
      </c>
      <c r="O54" s="23">
        <f t="shared" si="24"/>
        <v>0</v>
      </c>
      <c r="P54" s="23">
        <f t="shared" si="24"/>
        <v>0</v>
      </c>
      <c r="Q54" s="118">
        <f t="shared" si="25"/>
        <v>0</v>
      </c>
      <c r="R54" s="23">
        <f t="shared" si="26"/>
        <v>0</v>
      </c>
      <c r="S54" s="23">
        <f t="shared" si="26"/>
        <v>0</v>
      </c>
      <c r="T54" s="23">
        <f t="shared" si="26"/>
        <v>0</v>
      </c>
      <c r="U54" s="122">
        <f>+SUM(K54,Q54:T54)</f>
        <v>1</v>
      </c>
    </row>
    <row r="55" spans="1:22" outlineLevel="1" x14ac:dyDescent="0.5">
      <c r="G55" s="24"/>
      <c r="H55" s="24"/>
      <c r="I55" s="24"/>
      <c r="J55" s="24"/>
      <c r="K55" s="35"/>
      <c r="L55" s="24"/>
      <c r="M55" s="24"/>
      <c r="N55" s="24"/>
      <c r="O55" s="24"/>
      <c r="P55" s="24"/>
      <c r="Q55" s="35"/>
      <c r="R55" s="24"/>
      <c r="S55" s="24"/>
      <c r="T55" s="24"/>
      <c r="U55" s="35"/>
    </row>
    <row r="56" spans="1:22" ht="14.7" thickBot="1" x14ac:dyDescent="0.55000000000000004">
      <c r="G56" s="24"/>
      <c r="H56" s="24"/>
      <c r="I56" s="24"/>
      <c r="J56" s="24"/>
      <c r="K56" s="35"/>
      <c r="L56" s="24"/>
      <c r="M56" s="24"/>
      <c r="N56" s="24"/>
      <c r="O56" s="24"/>
      <c r="P56" s="24"/>
      <c r="Q56" s="35"/>
      <c r="R56" s="24"/>
      <c r="S56" s="24"/>
      <c r="T56" s="24"/>
      <c r="U56" s="35"/>
    </row>
    <row r="57" spans="1:22" ht="14.7" thickBot="1" x14ac:dyDescent="0.55000000000000004">
      <c r="B57" s="124" t="s">
        <v>28</v>
      </c>
      <c r="C57" s="125"/>
      <c r="D57" s="125"/>
      <c r="E57" s="126"/>
      <c r="F57" s="126"/>
      <c r="G57" s="127"/>
      <c r="H57" s="128"/>
      <c r="I57" s="128"/>
      <c r="J57" s="128"/>
      <c r="K57" s="129"/>
      <c r="L57" s="127"/>
      <c r="M57" s="128"/>
      <c r="N57" s="128"/>
      <c r="O57" s="128"/>
      <c r="P57" s="128"/>
      <c r="Q57" s="129"/>
      <c r="R57" s="128"/>
      <c r="S57" s="128"/>
      <c r="T57" s="128"/>
      <c r="U57" s="130"/>
    </row>
    <row r="58" spans="1:22" s="9" customFormat="1" outlineLevel="1" x14ac:dyDescent="0.5">
      <c r="A58" s="1"/>
      <c r="B58" s="84" t="s">
        <v>21</v>
      </c>
      <c r="C58" s="77"/>
      <c r="D58" s="77"/>
      <c r="G58" s="50"/>
      <c r="H58" s="60"/>
      <c r="I58" s="60"/>
      <c r="J58" s="60"/>
      <c r="K58" s="115"/>
      <c r="L58" s="50"/>
      <c r="M58" s="60"/>
      <c r="N58" s="60"/>
      <c r="O58" s="20"/>
      <c r="P58" s="60"/>
      <c r="Q58" s="115"/>
      <c r="R58" s="20"/>
      <c r="S58" s="20"/>
      <c r="T58" s="20"/>
      <c r="U58" s="123"/>
      <c r="V58" s="1"/>
    </row>
    <row r="59" spans="1:22" outlineLevel="1" x14ac:dyDescent="0.5">
      <c r="B59" s="14" t="s">
        <v>59</v>
      </c>
      <c r="C59" s="1"/>
      <c r="D59" s="1"/>
      <c r="G59" s="88"/>
      <c r="H59" s="89"/>
      <c r="I59" s="89"/>
      <c r="J59" s="89"/>
      <c r="K59" s="116"/>
      <c r="L59" s="88"/>
      <c r="M59" s="89"/>
      <c r="N59" s="89"/>
      <c r="O59" s="25"/>
      <c r="P59" s="89"/>
      <c r="Q59" s="116"/>
      <c r="R59" s="25"/>
      <c r="S59" s="25"/>
      <c r="T59" s="25"/>
      <c r="U59" s="121"/>
    </row>
    <row r="60" spans="1:22" outlineLevel="1" x14ac:dyDescent="0.5">
      <c r="B60" s="14"/>
      <c r="C60" s="2" t="s">
        <v>52</v>
      </c>
      <c r="D60" s="1"/>
      <c r="G60" s="88">
        <v>0.3</v>
      </c>
      <c r="H60" s="89">
        <v>0.7</v>
      </c>
      <c r="I60" s="25">
        <v>0</v>
      </c>
      <c r="J60" s="25">
        <v>0</v>
      </c>
      <c r="K60" s="116">
        <f>SUM(G60:J60)</f>
        <v>1</v>
      </c>
      <c r="L60" s="88">
        <v>0</v>
      </c>
      <c r="M60" s="89">
        <v>0</v>
      </c>
      <c r="N60" s="89">
        <v>0</v>
      </c>
      <c r="O60" s="25">
        <v>0</v>
      </c>
      <c r="P60" s="89">
        <v>0</v>
      </c>
      <c r="Q60" s="116">
        <f>SUM(L60:P60)</f>
        <v>0</v>
      </c>
      <c r="R60" s="25">
        <v>0</v>
      </c>
      <c r="S60" s="25">
        <v>0</v>
      </c>
      <c r="T60" s="25">
        <v>0</v>
      </c>
      <c r="U60" s="121">
        <f>+SUM(K60,Q60:T60)</f>
        <v>1</v>
      </c>
    </row>
    <row r="61" spans="1:22" outlineLevel="1" x14ac:dyDescent="0.5">
      <c r="B61" s="85"/>
      <c r="C61" s="2" t="s">
        <v>4</v>
      </c>
      <c r="D61" s="1"/>
      <c r="G61" s="88">
        <v>1</v>
      </c>
      <c r="H61" s="89">
        <v>0</v>
      </c>
      <c r="I61" s="25">
        <v>0</v>
      </c>
      <c r="J61" s="25">
        <v>0</v>
      </c>
      <c r="K61" s="116">
        <f>SUM(G61:J61)</f>
        <v>1</v>
      </c>
      <c r="L61" s="88">
        <v>0</v>
      </c>
      <c r="M61" s="89">
        <v>0</v>
      </c>
      <c r="N61" s="89">
        <v>0</v>
      </c>
      <c r="O61" s="25">
        <v>0</v>
      </c>
      <c r="P61" s="89">
        <v>0</v>
      </c>
      <c r="Q61" s="116">
        <f t="shared" ref="Q61:Q63" si="27">SUM(L61:P61)</f>
        <v>0</v>
      </c>
      <c r="R61" s="25">
        <v>0</v>
      </c>
      <c r="S61" s="25">
        <v>0</v>
      </c>
      <c r="T61" s="25">
        <v>0</v>
      </c>
      <c r="U61" s="121">
        <f>+SUM(K61,Q61:T61)</f>
        <v>1</v>
      </c>
    </row>
    <row r="62" spans="1:22" outlineLevel="1" x14ac:dyDescent="0.5">
      <c r="B62" s="14" t="s">
        <v>5</v>
      </c>
      <c r="C62" s="1"/>
      <c r="D62" s="1"/>
      <c r="E62" s="2"/>
      <c r="F62" s="2"/>
      <c r="G62" s="88">
        <v>0.25</v>
      </c>
      <c r="H62" s="89">
        <v>0.25</v>
      </c>
      <c r="I62" s="25">
        <v>0.125</v>
      </c>
      <c r="J62" s="25">
        <v>0.125</v>
      </c>
      <c r="K62" s="116">
        <f>SUM(G62:J62)</f>
        <v>0.75</v>
      </c>
      <c r="L62" s="88">
        <v>4.1666666669999998E-2</v>
      </c>
      <c r="M62" s="89">
        <v>4.1666666669999998E-2</v>
      </c>
      <c r="N62" s="89">
        <v>4.1666666669999998E-2</v>
      </c>
      <c r="O62" s="25">
        <v>0</v>
      </c>
      <c r="P62" s="89">
        <v>0</v>
      </c>
      <c r="Q62" s="116">
        <f t="shared" si="27"/>
        <v>0.12500000001</v>
      </c>
      <c r="R62" s="25">
        <v>0.125</v>
      </c>
      <c r="S62" s="25">
        <v>0</v>
      </c>
      <c r="T62" s="25">
        <v>0</v>
      </c>
      <c r="U62" s="121">
        <f>+SUM(K62,Q62:T62)</f>
        <v>1.00000000001</v>
      </c>
    </row>
    <row r="63" spans="1:22" outlineLevel="1" x14ac:dyDescent="0.5">
      <c r="B63" s="14" t="s">
        <v>6</v>
      </c>
      <c r="C63" s="1"/>
      <c r="D63" s="1"/>
      <c r="G63" s="88">
        <v>0.06</v>
      </c>
      <c r="H63" s="89">
        <v>0</v>
      </c>
      <c r="I63" s="25">
        <v>0.61</v>
      </c>
      <c r="J63" s="25">
        <v>0.01</v>
      </c>
      <c r="K63" s="116">
        <f>SUM(G63:J63)</f>
        <v>0.67999999999999994</v>
      </c>
      <c r="L63" s="88">
        <v>0</v>
      </c>
      <c r="M63" s="89">
        <v>0.28999999999999998</v>
      </c>
      <c r="N63" s="89">
        <v>0</v>
      </c>
      <c r="O63" s="25">
        <v>0</v>
      </c>
      <c r="P63" s="89">
        <v>0</v>
      </c>
      <c r="Q63" s="116">
        <f t="shared" si="27"/>
        <v>0.28999999999999998</v>
      </c>
      <c r="R63" s="25">
        <v>0</v>
      </c>
      <c r="S63" s="25">
        <v>0.03</v>
      </c>
      <c r="T63" s="25">
        <v>0</v>
      </c>
      <c r="U63" s="121">
        <f>+SUM(K63,Q63:T63)</f>
        <v>1</v>
      </c>
    </row>
    <row r="64" spans="1:22" ht="7.1" customHeight="1" outlineLevel="1" x14ac:dyDescent="0.5">
      <c r="B64" s="85"/>
      <c r="C64" s="1"/>
      <c r="D64" s="1"/>
      <c r="G64" s="88"/>
      <c r="H64" s="89"/>
      <c r="I64" s="25"/>
      <c r="J64" s="25"/>
      <c r="K64" s="116"/>
      <c r="L64" s="88"/>
      <c r="M64" s="89"/>
      <c r="N64" s="89"/>
      <c r="O64" s="25"/>
      <c r="P64" s="89"/>
      <c r="Q64" s="116"/>
      <c r="R64" s="25"/>
      <c r="S64" s="25"/>
      <c r="T64" s="25"/>
      <c r="U64" s="121"/>
    </row>
    <row r="65" spans="1:22" s="9" customFormat="1" outlineLevel="1" x14ac:dyDescent="0.5">
      <c r="A65" s="1"/>
      <c r="B65" s="86" t="s">
        <v>22</v>
      </c>
      <c r="G65" s="90"/>
      <c r="H65" s="91"/>
      <c r="I65" s="26"/>
      <c r="J65" s="26"/>
      <c r="K65" s="117"/>
      <c r="L65" s="90"/>
      <c r="M65" s="91"/>
      <c r="N65" s="91"/>
      <c r="O65" s="26"/>
      <c r="P65" s="91"/>
      <c r="Q65" s="117"/>
      <c r="R65" s="26"/>
      <c r="S65" s="26"/>
      <c r="T65" s="26"/>
      <c r="U65" s="71"/>
      <c r="V65" s="1"/>
    </row>
    <row r="66" spans="1:22" outlineLevel="1" x14ac:dyDescent="0.5">
      <c r="B66" s="14" t="s">
        <v>53</v>
      </c>
      <c r="C66" s="1"/>
      <c r="D66" s="1"/>
      <c r="G66" s="88"/>
      <c r="H66" s="89"/>
      <c r="I66" s="25"/>
      <c r="J66" s="25"/>
      <c r="K66" s="116"/>
      <c r="L66" s="88"/>
      <c r="M66" s="89"/>
      <c r="N66" s="89"/>
      <c r="O66" s="25"/>
      <c r="P66" s="89"/>
      <c r="Q66" s="116"/>
      <c r="R66" s="25"/>
      <c r="S66" s="25"/>
      <c r="T66" s="25"/>
      <c r="U66" s="121"/>
    </row>
    <row r="67" spans="1:22" outlineLevel="1" x14ac:dyDescent="0.5">
      <c r="B67" s="14"/>
      <c r="C67" s="2" t="s">
        <v>47</v>
      </c>
      <c r="D67" s="1"/>
      <c r="G67" s="88">
        <v>0</v>
      </c>
      <c r="H67" s="89">
        <v>0</v>
      </c>
      <c r="I67" s="25">
        <v>0</v>
      </c>
      <c r="J67" s="25">
        <v>0</v>
      </c>
      <c r="K67" s="116">
        <f>SUM(G67:J67)</f>
        <v>0</v>
      </c>
      <c r="L67" s="88">
        <v>0</v>
      </c>
      <c r="M67" s="89">
        <v>0</v>
      </c>
      <c r="N67" s="89">
        <v>0.93</v>
      </c>
      <c r="O67" s="25">
        <v>0</v>
      </c>
      <c r="P67" s="89">
        <v>0</v>
      </c>
      <c r="Q67" s="116">
        <f t="shared" ref="Q67:Q70" si="28">SUM(L67:P67)</f>
        <v>0.93</v>
      </c>
      <c r="R67" s="25">
        <v>7.0000000000000007E-2</v>
      </c>
      <c r="S67" s="25">
        <v>0</v>
      </c>
      <c r="T67" s="25">
        <v>0</v>
      </c>
      <c r="U67" s="121">
        <f>+SUM(K67,Q67:T67)</f>
        <v>1</v>
      </c>
    </row>
    <row r="68" spans="1:22" outlineLevel="1" x14ac:dyDescent="0.5">
      <c r="B68" s="85"/>
      <c r="C68" s="2" t="s">
        <v>48</v>
      </c>
      <c r="D68" s="1"/>
      <c r="E68" s="2"/>
      <c r="F68" s="2"/>
      <c r="G68" s="88">
        <v>0</v>
      </c>
      <c r="H68" s="89">
        <v>0</v>
      </c>
      <c r="I68" s="25">
        <v>0</v>
      </c>
      <c r="J68" s="25">
        <v>0</v>
      </c>
      <c r="K68" s="116">
        <f>SUM(G68:J68)</f>
        <v>0</v>
      </c>
      <c r="L68" s="88">
        <v>0.93</v>
      </c>
      <c r="M68" s="89">
        <v>0</v>
      </c>
      <c r="N68" s="89">
        <v>0</v>
      </c>
      <c r="O68" s="25">
        <v>0</v>
      </c>
      <c r="P68" s="89">
        <v>0</v>
      </c>
      <c r="Q68" s="116">
        <f t="shared" si="28"/>
        <v>0.93</v>
      </c>
      <c r="R68" s="25">
        <v>7.0000000000000007E-2</v>
      </c>
      <c r="S68" s="25">
        <v>0</v>
      </c>
      <c r="T68" s="25">
        <v>0</v>
      </c>
      <c r="U68" s="121">
        <f>+SUM(K68,Q68:T68)</f>
        <v>1</v>
      </c>
    </row>
    <row r="69" spans="1:22" outlineLevel="1" x14ac:dyDescent="0.5">
      <c r="B69" s="14" t="s">
        <v>46</v>
      </c>
      <c r="C69" s="2"/>
      <c r="D69" s="1"/>
      <c r="E69" s="2"/>
      <c r="F69" s="2"/>
      <c r="G69" s="88">
        <v>0</v>
      </c>
      <c r="H69" s="89">
        <v>0</v>
      </c>
      <c r="I69" s="25">
        <v>0</v>
      </c>
      <c r="J69" s="25">
        <v>0</v>
      </c>
      <c r="K69" s="116">
        <f>SUM(G69:J69)</f>
        <v>0</v>
      </c>
      <c r="L69" s="88">
        <v>0.93</v>
      </c>
      <c r="M69" s="89">
        <v>0</v>
      </c>
      <c r="N69" s="89">
        <v>0</v>
      </c>
      <c r="O69" s="25">
        <v>0</v>
      </c>
      <c r="P69" s="89">
        <v>0</v>
      </c>
      <c r="Q69" s="116">
        <f t="shared" si="28"/>
        <v>0.93</v>
      </c>
      <c r="R69" s="25">
        <v>7.0000000000000007E-2</v>
      </c>
      <c r="S69" s="25">
        <v>0</v>
      </c>
      <c r="T69" s="25">
        <v>0</v>
      </c>
      <c r="U69" s="121">
        <f>+SUM(K69,Q69:T69)</f>
        <v>1</v>
      </c>
    </row>
    <row r="70" spans="1:22" outlineLevel="1" x14ac:dyDescent="0.5">
      <c r="B70" s="14" t="s">
        <v>8</v>
      </c>
      <c r="C70" s="1"/>
      <c r="D70" s="1"/>
      <c r="E70" s="2"/>
      <c r="F70" s="2"/>
      <c r="G70" s="88">
        <v>0</v>
      </c>
      <c r="H70" s="89">
        <v>0</v>
      </c>
      <c r="I70" s="25">
        <v>0.01</v>
      </c>
      <c r="J70" s="25">
        <v>0</v>
      </c>
      <c r="K70" s="116">
        <f>SUM(G70:J70)</f>
        <v>0.01</v>
      </c>
      <c r="L70" s="88">
        <v>0.255</v>
      </c>
      <c r="M70" s="89">
        <v>0.7</v>
      </c>
      <c r="N70" s="89">
        <v>2.5000000000000001E-2</v>
      </c>
      <c r="O70" s="25">
        <v>0</v>
      </c>
      <c r="P70" s="89">
        <v>0</v>
      </c>
      <c r="Q70" s="116">
        <f t="shared" si="28"/>
        <v>0.98</v>
      </c>
      <c r="R70" s="25">
        <v>0.01</v>
      </c>
      <c r="S70" s="25">
        <v>0</v>
      </c>
      <c r="T70" s="25">
        <v>0</v>
      </c>
      <c r="U70" s="121">
        <f>+SUM(K70,Q70:T70)</f>
        <v>1</v>
      </c>
    </row>
    <row r="71" spans="1:22" ht="7.1" customHeight="1" outlineLevel="1" x14ac:dyDescent="0.5">
      <c r="B71" s="85"/>
      <c r="C71" s="1"/>
      <c r="D71" s="1"/>
      <c r="E71" s="2"/>
      <c r="F71" s="2"/>
      <c r="G71" s="88"/>
      <c r="H71" s="89"/>
      <c r="I71" s="25"/>
      <c r="J71" s="25"/>
      <c r="K71" s="116"/>
      <c r="L71" s="88"/>
      <c r="M71" s="89"/>
      <c r="N71" s="89"/>
      <c r="O71" s="25"/>
      <c r="P71" s="89"/>
      <c r="Q71" s="116"/>
      <c r="R71" s="25"/>
      <c r="S71" s="25"/>
      <c r="T71" s="25"/>
      <c r="U71" s="121"/>
    </row>
    <row r="72" spans="1:22" s="9" customFormat="1" outlineLevel="1" x14ac:dyDescent="0.5">
      <c r="A72" s="1"/>
      <c r="B72" s="84" t="s">
        <v>23</v>
      </c>
      <c r="G72" s="90"/>
      <c r="H72" s="91"/>
      <c r="I72" s="26"/>
      <c r="J72" s="26"/>
      <c r="K72" s="117"/>
      <c r="L72" s="90"/>
      <c r="M72" s="91"/>
      <c r="N72" s="91"/>
      <c r="O72" s="26"/>
      <c r="P72" s="91"/>
      <c r="Q72" s="117"/>
      <c r="R72" s="26"/>
      <c r="S72" s="26"/>
      <c r="T72" s="26"/>
      <c r="U72" s="71"/>
      <c r="V72" s="1"/>
    </row>
    <row r="73" spans="1:22" outlineLevel="1" x14ac:dyDescent="0.5">
      <c r="B73" s="14" t="s">
        <v>45</v>
      </c>
      <c r="C73" s="1"/>
      <c r="D73" s="1"/>
      <c r="E73" s="2"/>
      <c r="F73" s="2"/>
      <c r="G73" s="88">
        <v>0</v>
      </c>
      <c r="H73" s="89">
        <v>0.5</v>
      </c>
      <c r="I73" s="25">
        <v>0</v>
      </c>
      <c r="J73" s="25">
        <v>0</v>
      </c>
      <c r="K73" s="116">
        <f>SUM(G73:J73)</f>
        <v>0.5</v>
      </c>
      <c r="L73" s="88">
        <v>0</v>
      </c>
      <c r="M73" s="89">
        <v>0</v>
      </c>
      <c r="N73" s="89">
        <v>0</v>
      </c>
      <c r="O73" s="25">
        <v>0</v>
      </c>
      <c r="P73" s="89">
        <v>0.5</v>
      </c>
      <c r="Q73" s="116">
        <f t="shared" ref="Q73:Q74" si="29">SUM(L73:P73)</f>
        <v>0.5</v>
      </c>
      <c r="R73" s="25">
        <v>0</v>
      </c>
      <c r="S73" s="25">
        <v>0</v>
      </c>
      <c r="T73" s="25">
        <v>0</v>
      </c>
      <c r="U73" s="121">
        <f>+SUM(K73,Q73:T73)</f>
        <v>1</v>
      </c>
    </row>
    <row r="74" spans="1:22" outlineLevel="1" x14ac:dyDescent="0.5">
      <c r="B74" s="14" t="s">
        <v>9</v>
      </c>
      <c r="C74" s="1"/>
      <c r="D74" s="1"/>
      <c r="E74" s="2"/>
      <c r="F74" s="2"/>
      <c r="G74" s="88">
        <v>1</v>
      </c>
      <c r="H74" s="89">
        <v>0</v>
      </c>
      <c r="I74" s="25">
        <v>0</v>
      </c>
      <c r="J74" s="25">
        <v>0</v>
      </c>
      <c r="K74" s="116">
        <f>SUM(G74:J74)</f>
        <v>1</v>
      </c>
      <c r="L74" s="88">
        <v>0</v>
      </c>
      <c r="M74" s="89">
        <v>0</v>
      </c>
      <c r="N74" s="89">
        <v>0</v>
      </c>
      <c r="O74" s="25">
        <v>0</v>
      </c>
      <c r="P74" s="89">
        <v>0</v>
      </c>
      <c r="Q74" s="116">
        <f t="shared" si="29"/>
        <v>0</v>
      </c>
      <c r="R74" s="25">
        <v>0</v>
      </c>
      <c r="S74" s="25">
        <v>0</v>
      </c>
      <c r="T74" s="25">
        <v>0</v>
      </c>
      <c r="U74" s="121">
        <f>+SUM(K74,Q74:T74)</f>
        <v>1</v>
      </c>
    </row>
    <row r="75" spans="1:22" ht="7.1" customHeight="1" outlineLevel="1" x14ac:dyDescent="0.5">
      <c r="B75" s="85"/>
      <c r="C75" s="1"/>
      <c r="D75" s="1"/>
      <c r="G75" s="88"/>
      <c r="H75" s="89"/>
      <c r="I75" s="25"/>
      <c r="J75" s="25"/>
      <c r="K75" s="116"/>
      <c r="L75" s="88"/>
      <c r="M75" s="89"/>
      <c r="N75" s="89"/>
      <c r="O75" s="25"/>
      <c r="P75" s="89"/>
      <c r="Q75" s="116"/>
      <c r="R75" s="25"/>
      <c r="S75" s="25"/>
      <c r="T75" s="25"/>
      <c r="U75" s="121"/>
    </row>
    <row r="76" spans="1:22" s="9" customFormat="1" outlineLevel="1" x14ac:dyDescent="0.5">
      <c r="A76" s="1"/>
      <c r="B76" s="84" t="s">
        <v>10</v>
      </c>
      <c r="G76" s="90"/>
      <c r="H76" s="91"/>
      <c r="I76" s="26"/>
      <c r="J76" s="26"/>
      <c r="K76" s="117"/>
      <c r="L76" s="90"/>
      <c r="M76" s="91"/>
      <c r="N76" s="91"/>
      <c r="O76" s="26"/>
      <c r="P76" s="91"/>
      <c r="Q76" s="117"/>
      <c r="R76" s="26"/>
      <c r="S76" s="26"/>
      <c r="T76" s="26"/>
      <c r="U76" s="71"/>
      <c r="V76" s="1"/>
    </row>
    <row r="77" spans="1:22" outlineLevel="1" x14ac:dyDescent="0.5">
      <c r="B77" s="14" t="s">
        <v>49</v>
      </c>
      <c r="D77" s="1"/>
      <c r="G77" s="88">
        <v>1</v>
      </c>
      <c r="H77" s="89">
        <v>0</v>
      </c>
      <c r="I77" s="25">
        <v>0</v>
      </c>
      <c r="J77" s="25">
        <v>0</v>
      </c>
      <c r="K77" s="116">
        <f>SUM(G77:J77)</f>
        <v>1</v>
      </c>
      <c r="L77" s="88">
        <v>0</v>
      </c>
      <c r="M77" s="89">
        <v>0</v>
      </c>
      <c r="N77" s="89">
        <v>0</v>
      </c>
      <c r="O77" s="25">
        <v>0</v>
      </c>
      <c r="P77" s="89">
        <v>0</v>
      </c>
      <c r="Q77" s="116">
        <f t="shared" ref="Q77:Q78" si="30">SUM(L77:P77)</f>
        <v>0</v>
      </c>
      <c r="R77" s="25">
        <v>0</v>
      </c>
      <c r="S77" s="25">
        <v>0</v>
      </c>
      <c r="T77" s="25">
        <v>0</v>
      </c>
      <c r="U77" s="121">
        <f>+SUM(K77,Q77:T77)</f>
        <v>1</v>
      </c>
    </row>
    <row r="78" spans="1:22" outlineLevel="1" x14ac:dyDescent="0.5">
      <c r="B78" s="14" t="s">
        <v>50</v>
      </c>
      <c r="D78" s="1"/>
      <c r="G78" s="88">
        <v>0.5</v>
      </c>
      <c r="H78" s="89">
        <v>0</v>
      </c>
      <c r="I78" s="25">
        <v>0</v>
      </c>
      <c r="J78" s="25">
        <v>0</v>
      </c>
      <c r="K78" s="116">
        <f>SUM(G78:J78)</f>
        <v>0.5</v>
      </c>
      <c r="L78" s="88">
        <v>0.23</v>
      </c>
      <c r="M78" s="89">
        <v>0.23</v>
      </c>
      <c r="N78" s="89">
        <v>5.0000000000000001E-3</v>
      </c>
      <c r="O78" s="25">
        <v>0</v>
      </c>
      <c r="P78" s="89">
        <v>0</v>
      </c>
      <c r="Q78" s="116">
        <f t="shared" si="30"/>
        <v>0.46500000000000002</v>
      </c>
      <c r="R78" s="25">
        <v>3.5000000000000003E-2</v>
      </c>
      <c r="S78" s="25">
        <v>0</v>
      </c>
      <c r="T78" s="25">
        <v>0</v>
      </c>
      <c r="U78" s="121">
        <f>+SUM(K78,Q78:T78)</f>
        <v>1</v>
      </c>
    </row>
    <row r="79" spans="1:22" ht="7.1" customHeight="1" outlineLevel="1" x14ac:dyDescent="0.5">
      <c r="B79" s="85"/>
      <c r="C79" s="1"/>
      <c r="D79" s="1"/>
      <c r="G79" s="88"/>
      <c r="H79" s="89"/>
      <c r="I79" s="25"/>
      <c r="J79" s="25"/>
      <c r="K79" s="116"/>
      <c r="L79" s="88"/>
      <c r="M79" s="89"/>
      <c r="N79" s="89"/>
      <c r="O79" s="25"/>
      <c r="P79" s="89"/>
      <c r="Q79" s="116"/>
      <c r="R79" s="25"/>
      <c r="S79" s="25"/>
      <c r="T79" s="25"/>
      <c r="U79" s="121"/>
    </row>
    <row r="80" spans="1:22" s="9" customFormat="1" outlineLevel="1" x14ac:dyDescent="0.5">
      <c r="A80" s="1"/>
      <c r="B80" s="84" t="s">
        <v>24</v>
      </c>
      <c r="G80" s="90"/>
      <c r="H80" s="91"/>
      <c r="I80" s="26"/>
      <c r="J80" s="26"/>
      <c r="K80" s="117"/>
      <c r="L80" s="90"/>
      <c r="M80" s="91"/>
      <c r="N80" s="91"/>
      <c r="O80" s="26"/>
      <c r="P80" s="91"/>
      <c r="Q80" s="117"/>
      <c r="R80" s="26"/>
      <c r="S80" s="26"/>
      <c r="T80" s="26"/>
      <c r="U80" s="71"/>
      <c r="V80" s="1"/>
    </row>
    <row r="81" spans="1:22" outlineLevel="1" x14ac:dyDescent="0.5">
      <c r="B81" s="14" t="s">
        <v>12</v>
      </c>
      <c r="C81" s="1"/>
      <c r="D81" s="1"/>
      <c r="G81" s="88"/>
      <c r="H81" s="89"/>
      <c r="I81" s="25"/>
      <c r="J81" s="25"/>
      <c r="K81" s="116"/>
      <c r="L81" s="88"/>
      <c r="M81" s="89"/>
      <c r="N81" s="89"/>
      <c r="O81" s="25"/>
      <c r="P81" s="89"/>
      <c r="Q81" s="116"/>
      <c r="R81" s="25"/>
      <c r="S81" s="25"/>
      <c r="T81" s="25"/>
      <c r="U81" s="121"/>
    </row>
    <row r="82" spans="1:22" outlineLevel="1" x14ac:dyDescent="0.5">
      <c r="B82" s="85"/>
      <c r="C82" s="2" t="s">
        <v>13</v>
      </c>
      <c r="D82" s="2"/>
      <c r="E82" s="2"/>
      <c r="F82" s="2"/>
      <c r="G82" s="88">
        <v>0.5</v>
      </c>
      <c r="H82" s="89">
        <v>0</v>
      </c>
      <c r="I82" s="25">
        <v>0.25</v>
      </c>
      <c r="J82" s="25">
        <v>0.25</v>
      </c>
      <c r="K82" s="116">
        <f>SUM(G82:J82)</f>
        <v>1</v>
      </c>
      <c r="L82" s="88">
        <v>0</v>
      </c>
      <c r="M82" s="89">
        <v>0</v>
      </c>
      <c r="N82" s="89">
        <v>0</v>
      </c>
      <c r="O82" s="25">
        <v>0</v>
      </c>
      <c r="P82" s="89">
        <v>0</v>
      </c>
      <c r="Q82" s="116">
        <f>SUM(L82:P82)</f>
        <v>0</v>
      </c>
      <c r="R82" s="25">
        <v>0</v>
      </c>
      <c r="S82" s="25">
        <v>0</v>
      </c>
      <c r="T82" s="25">
        <v>0</v>
      </c>
      <c r="U82" s="121">
        <f>+SUM(K82,Q82:T82)</f>
        <v>1</v>
      </c>
    </row>
    <row r="83" spans="1:22" outlineLevel="1" x14ac:dyDescent="0.5">
      <c r="B83" s="13" t="s">
        <v>14</v>
      </c>
      <c r="C83" s="1"/>
      <c r="D83" s="1"/>
      <c r="G83" s="88"/>
      <c r="H83" s="89"/>
      <c r="I83" s="25"/>
      <c r="J83" s="25"/>
      <c r="K83" s="116"/>
      <c r="L83" s="88"/>
      <c r="M83" s="89"/>
      <c r="N83" s="89"/>
      <c r="O83" s="25"/>
      <c r="P83" s="89"/>
      <c r="Q83" s="116"/>
      <c r="R83" s="25"/>
      <c r="S83" s="25"/>
      <c r="T83" s="25"/>
      <c r="U83" s="121"/>
    </row>
    <row r="84" spans="1:22" outlineLevel="1" x14ac:dyDescent="0.5">
      <c r="B84" s="13"/>
      <c r="C84" s="2" t="s">
        <v>15</v>
      </c>
      <c r="D84" s="1"/>
      <c r="G84" s="88">
        <v>0</v>
      </c>
      <c r="H84" s="89">
        <v>0</v>
      </c>
      <c r="I84" s="25">
        <v>0</v>
      </c>
      <c r="J84" s="25">
        <v>0</v>
      </c>
      <c r="K84" s="116">
        <f>SUM(G84:J84)</f>
        <v>0</v>
      </c>
      <c r="L84" s="88">
        <v>0</v>
      </c>
      <c r="M84" s="89">
        <v>0.46500000000000002</v>
      </c>
      <c r="N84" s="89">
        <v>0.46500000000000002</v>
      </c>
      <c r="O84" s="25">
        <v>0</v>
      </c>
      <c r="P84" s="89">
        <v>0</v>
      </c>
      <c r="Q84" s="116">
        <f t="shared" ref="Q84:Q87" si="31">SUM(L84:P84)</f>
        <v>0.93</v>
      </c>
      <c r="R84" s="25">
        <v>7.0000000000000007E-2</v>
      </c>
      <c r="S84" s="25">
        <v>0</v>
      </c>
      <c r="T84" s="25">
        <v>0</v>
      </c>
      <c r="U84" s="121">
        <f>+SUM(K84,Q84:T84)</f>
        <v>1</v>
      </c>
    </row>
    <row r="85" spans="1:22" outlineLevel="1" x14ac:dyDescent="0.5">
      <c r="B85" s="13"/>
      <c r="C85" s="2" t="s">
        <v>16</v>
      </c>
      <c r="D85" s="1"/>
      <c r="G85" s="88">
        <v>3.5000000000000003E-2</v>
      </c>
      <c r="H85" s="89">
        <v>3.5000000000000003E-2</v>
      </c>
      <c r="I85" s="25">
        <v>0</v>
      </c>
      <c r="J85" s="25">
        <v>0</v>
      </c>
      <c r="K85" s="116">
        <f>SUM(G85:J85)</f>
        <v>7.0000000000000007E-2</v>
      </c>
      <c r="L85" s="88">
        <v>0</v>
      </c>
      <c r="M85" s="89">
        <v>0.69</v>
      </c>
      <c r="N85" s="89">
        <v>0</v>
      </c>
      <c r="O85" s="25">
        <v>0</v>
      </c>
      <c r="P85" s="89">
        <v>0</v>
      </c>
      <c r="Q85" s="116">
        <f t="shared" si="31"/>
        <v>0.69</v>
      </c>
      <c r="R85" s="25">
        <v>0.24</v>
      </c>
      <c r="S85" s="25">
        <v>0</v>
      </c>
      <c r="T85" s="25">
        <v>0</v>
      </c>
      <c r="U85" s="121">
        <f>+SUM(K85,Q85:T85)</f>
        <v>1</v>
      </c>
    </row>
    <row r="86" spans="1:22" outlineLevel="1" x14ac:dyDescent="0.5">
      <c r="B86" s="13"/>
      <c r="C86" s="2" t="s">
        <v>17</v>
      </c>
      <c r="D86" s="1"/>
      <c r="G86" s="88">
        <v>0</v>
      </c>
      <c r="H86" s="89">
        <v>0</v>
      </c>
      <c r="I86" s="25">
        <v>0</v>
      </c>
      <c r="J86" s="25">
        <v>0</v>
      </c>
      <c r="K86" s="116">
        <f>SUM(G86:J86)</f>
        <v>0</v>
      </c>
      <c r="L86" s="88">
        <v>0</v>
      </c>
      <c r="M86" s="89">
        <v>0.5</v>
      </c>
      <c r="N86" s="89">
        <v>0</v>
      </c>
      <c r="O86" s="25">
        <v>0</v>
      </c>
      <c r="P86" s="89">
        <v>0</v>
      </c>
      <c r="Q86" s="116">
        <f t="shared" si="31"/>
        <v>0.5</v>
      </c>
      <c r="R86" s="25">
        <v>0</v>
      </c>
      <c r="S86" s="25">
        <v>0</v>
      </c>
      <c r="T86" s="25">
        <v>0.5</v>
      </c>
      <c r="U86" s="121">
        <f>+SUM(K86,Q86:T86)</f>
        <v>1</v>
      </c>
    </row>
    <row r="87" spans="1:22" outlineLevel="1" x14ac:dyDescent="0.5">
      <c r="B87" s="85"/>
      <c r="C87" s="2" t="s">
        <v>18</v>
      </c>
      <c r="D87" s="1"/>
      <c r="G87" s="88">
        <v>0</v>
      </c>
      <c r="H87" s="89">
        <v>0</v>
      </c>
      <c r="I87" s="25">
        <v>0</v>
      </c>
      <c r="J87" s="25">
        <v>0</v>
      </c>
      <c r="K87" s="116">
        <f>SUM(G87:J87)</f>
        <v>0</v>
      </c>
      <c r="L87" s="88">
        <v>0</v>
      </c>
      <c r="M87" s="89">
        <v>0</v>
      </c>
      <c r="N87" s="89">
        <v>0</v>
      </c>
      <c r="O87" s="25">
        <v>0</v>
      </c>
      <c r="P87" s="89">
        <v>0</v>
      </c>
      <c r="Q87" s="116">
        <f t="shared" si="31"/>
        <v>0</v>
      </c>
      <c r="R87" s="25">
        <v>0</v>
      </c>
      <c r="S87" s="25">
        <v>0</v>
      </c>
      <c r="T87" s="25">
        <v>1</v>
      </c>
      <c r="U87" s="121">
        <f>+SUM(K87,Q87:T87)</f>
        <v>1</v>
      </c>
    </row>
    <row r="88" spans="1:22" ht="7.1" customHeight="1" outlineLevel="1" x14ac:dyDescent="0.5">
      <c r="B88" s="85"/>
      <c r="C88" s="1"/>
      <c r="D88" s="1"/>
      <c r="G88" s="88"/>
      <c r="H88" s="89"/>
      <c r="I88" s="25"/>
      <c r="J88" s="25"/>
      <c r="K88" s="116"/>
      <c r="L88" s="88"/>
      <c r="M88" s="89"/>
      <c r="N88" s="89"/>
      <c r="O88" s="25"/>
      <c r="P88" s="89"/>
      <c r="Q88" s="116"/>
      <c r="R88" s="25"/>
      <c r="S88" s="25"/>
      <c r="T88" s="25"/>
      <c r="U88" s="121"/>
    </row>
    <row r="89" spans="1:22" s="9" customFormat="1" outlineLevel="1" x14ac:dyDescent="0.5">
      <c r="A89" s="1"/>
      <c r="B89" s="86" t="s">
        <v>19</v>
      </c>
      <c r="E89" s="11"/>
      <c r="F89" s="11"/>
      <c r="G89" s="90"/>
      <c r="H89" s="91"/>
      <c r="I89" s="26"/>
      <c r="J89" s="26"/>
      <c r="K89" s="117"/>
      <c r="L89" s="90"/>
      <c r="M89" s="91"/>
      <c r="N89" s="91"/>
      <c r="O89" s="26"/>
      <c r="P89" s="91"/>
      <c r="Q89" s="117"/>
      <c r="R89" s="26"/>
      <c r="S89" s="26"/>
      <c r="T89" s="26"/>
      <c r="U89" s="71"/>
      <c r="V89" s="1"/>
    </row>
    <row r="90" spans="1:22" outlineLevel="1" x14ac:dyDescent="0.5">
      <c r="B90" s="14" t="s">
        <v>19</v>
      </c>
      <c r="C90" s="1"/>
      <c r="D90" s="1"/>
      <c r="E90" s="2"/>
      <c r="F90" s="2"/>
      <c r="G90" s="88">
        <v>0</v>
      </c>
      <c r="H90" s="89">
        <v>1</v>
      </c>
      <c r="I90" s="25">
        <v>0</v>
      </c>
      <c r="J90" s="25">
        <v>0</v>
      </c>
      <c r="K90" s="116">
        <f>SUM(G90:J90)</f>
        <v>1</v>
      </c>
      <c r="L90" s="88">
        <v>0</v>
      </c>
      <c r="M90" s="89">
        <v>0</v>
      </c>
      <c r="N90" s="89">
        <v>0</v>
      </c>
      <c r="O90" s="25">
        <v>0</v>
      </c>
      <c r="P90" s="89">
        <v>0</v>
      </c>
      <c r="Q90" s="116">
        <f>SUM(L90:P90)</f>
        <v>0</v>
      </c>
      <c r="R90" s="25">
        <v>0</v>
      </c>
      <c r="S90" s="25">
        <v>0</v>
      </c>
      <c r="T90" s="25">
        <v>0</v>
      </c>
      <c r="U90" s="121">
        <f>+SUM(K90,Q90:T90)</f>
        <v>1</v>
      </c>
    </row>
    <row r="91" spans="1:22" ht="7.1" customHeight="1" outlineLevel="1" x14ac:dyDescent="0.5">
      <c r="B91" s="14"/>
      <c r="C91" s="1"/>
      <c r="D91" s="1"/>
      <c r="E91" s="2"/>
      <c r="F91" s="2"/>
      <c r="G91" s="88"/>
      <c r="H91" s="89"/>
      <c r="I91" s="25"/>
      <c r="J91" s="25"/>
      <c r="K91" s="116"/>
      <c r="L91" s="88"/>
      <c r="M91" s="89"/>
      <c r="N91" s="89"/>
      <c r="O91" s="25"/>
      <c r="P91" s="89"/>
      <c r="Q91" s="116"/>
      <c r="R91" s="25"/>
      <c r="S91" s="25"/>
      <c r="T91" s="25"/>
      <c r="U91" s="121"/>
    </row>
    <row r="92" spans="1:22" s="9" customFormat="1" outlineLevel="1" x14ac:dyDescent="0.5">
      <c r="A92" s="1"/>
      <c r="B92" s="86" t="s">
        <v>25</v>
      </c>
      <c r="G92" s="90"/>
      <c r="H92" s="91"/>
      <c r="I92" s="26"/>
      <c r="J92" s="26"/>
      <c r="K92" s="117"/>
      <c r="L92" s="90"/>
      <c r="M92" s="91"/>
      <c r="N92" s="91"/>
      <c r="O92" s="26"/>
      <c r="P92" s="91"/>
      <c r="Q92" s="117"/>
      <c r="R92" s="26"/>
      <c r="S92" s="26"/>
      <c r="T92" s="26"/>
      <c r="U92" s="71"/>
      <c r="V92" s="1"/>
    </row>
    <row r="93" spans="1:22" outlineLevel="1" x14ac:dyDescent="0.5">
      <c r="B93" s="14" t="s">
        <v>25</v>
      </c>
      <c r="C93" s="1"/>
      <c r="D93" s="1"/>
      <c r="G93" s="88">
        <v>0</v>
      </c>
      <c r="H93" s="89">
        <v>0.9</v>
      </c>
      <c r="I93" s="25">
        <v>0</v>
      </c>
      <c r="J93" s="25">
        <v>0</v>
      </c>
      <c r="K93" s="116">
        <f>SUM(G93:J93)</f>
        <v>0.9</v>
      </c>
      <c r="L93" s="88">
        <v>0</v>
      </c>
      <c r="M93" s="89">
        <v>0</v>
      </c>
      <c r="N93" s="89">
        <v>0</v>
      </c>
      <c r="O93" s="25">
        <v>0</v>
      </c>
      <c r="P93" s="89">
        <v>0</v>
      </c>
      <c r="Q93" s="116">
        <f>SUM(L93:P93)</f>
        <v>0</v>
      </c>
      <c r="R93" s="25">
        <v>0</v>
      </c>
      <c r="S93" s="25">
        <v>0.1</v>
      </c>
      <c r="T93" s="25">
        <v>0</v>
      </c>
      <c r="U93" s="121">
        <f>+SUM(K93,Q93:T93)</f>
        <v>1</v>
      </c>
    </row>
    <row r="94" spans="1:22" ht="7.1" customHeight="1" outlineLevel="1" x14ac:dyDescent="0.5">
      <c r="B94" s="14"/>
      <c r="C94" s="1"/>
      <c r="D94" s="1"/>
      <c r="G94" s="88"/>
      <c r="H94" s="89"/>
      <c r="I94" s="25"/>
      <c r="J94" s="25"/>
      <c r="K94" s="116"/>
      <c r="L94" s="88"/>
      <c r="M94" s="89"/>
      <c r="N94" s="89"/>
      <c r="O94" s="25"/>
      <c r="P94" s="89"/>
      <c r="Q94" s="116"/>
      <c r="R94" s="25"/>
      <c r="S94" s="25"/>
      <c r="T94" s="25"/>
      <c r="U94" s="121"/>
    </row>
    <row r="95" spans="1:22" s="9" customFormat="1" outlineLevel="1" x14ac:dyDescent="0.5">
      <c r="A95" s="1"/>
      <c r="B95" s="86" t="s">
        <v>4</v>
      </c>
      <c r="G95" s="90"/>
      <c r="H95" s="91"/>
      <c r="I95" s="26"/>
      <c r="J95" s="26"/>
      <c r="K95" s="117"/>
      <c r="L95" s="90"/>
      <c r="M95" s="91"/>
      <c r="N95" s="91"/>
      <c r="O95" s="26"/>
      <c r="P95" s="91"/>
      <c r="Q95" s="117"/>
      <c r="R95" s="26"/>
      <c r="S95" s="26"/>
      <c r="T95" s="26"/>
      <c r="U95" s="71"/>
      <c r="V95" s="1"/>
    </row>
    <row r="96" spans="1:22" outlineLevel="1" x14ac:dyDescent="0.5">
      <c r="B96" s="14" t="s">
        <v>20</v>
      </c>
      <c r="C96" s="1"/>
      <c r="D96" s="1"/>
      <c r="E96" s="2"/>
      <c r="F96" s="2"/>
      <c r="G96" s="88">
        <v>0.97</v>
      </c>
      <c r="H96" s="89">
        <v>0.02</v>
      </c>
      <c r="I96" s="25">
        <v>0</v>
      </c>
      <c r="J96" s="25">
        <v>0.01</v>
      </c>
      <c r="K96" s="116">
        <f>SUM(G96:J96)</f>
        <v>1</v>
      </c>
      <c r="L96" s="88">
        <v>0</v>
      </c>
      <c r="M96" s="89">
        <v>0</v>
      </c>
      <c r="N96" s="89">
        <v>0</v>
      </c>
      <c r="O96" s="25">
        <v>0</v>
      </c>
      <c r="P96" s="89">
        <v>0</v>
      </c>
      <c r="Q96" s="116">
        <f t="shared" ref="Q96:Q98" si="32">SUM(L96:P96)</f>
        <v>0</v>
      </c>
      <c r="R96" s="25">
        <v>0</v>
      </c>
      <c r="S96" s="25">
        <v>0</v>
      </c>
      <c r="T96" s="25">
        <v>0</v>
      </c>
      <c r="U96" s="121">
        <f>+SUM(K96,Q96:T96)</f>
        <v>1</v>
      </c>
    </row>
    <row r="97" spans="1:22" outlineLevel="1" x14ac:dyDescent="0.5">
      <c r="B97" s="14" t="s">
        <v>11</v>
      </c>
      <c r="C97" s="1"/>
      <c r="D97" s="1"/>
      <c r="E97" s="2"/>
      <c r="F97" s="2"/>
      <c r="G97" s="88">
        <v>7.0000000000000007E-2</v>
      </c>
      <c r="H97" s="89">
        <v>0</v>
      </c>
      <c r="I97" s="25">
        <v>0</v>
      </c>
      <c r="J97" s="25">
        <v>0</v>
      </c>
      <c r="K97" s="116">
        <f>SUM(G97:J97)</f>
        <v>7.0000000000000007E-2</v>
      </c>
      <c r="L97" s="88">
        <v>0</v>
      </c>
      <c r="M97" s="89">
        <v>0.53500000000000003</v>
      </c>
      <c r="N97" s="89">
        <v>0.29499999999999998</v>
      </c>
      <c r="O97" s="25">
        <v>0</v>
      </c>
      <c r="P97" s="89">
        <v>0</v>
      </c>
      <c r="Q97" s="116">
        <f t="shared" si="32"/>
        <v>0.83000000000000007</v>
      </c>
      <c r="R97" s="25">
        <v>0.1</v>
      </c>
      <c r="S97" s="25">
        <v>0</v>
      </c>
      <c r="T97" s="25">
        <v>0</v>
      </c>
      <c r="U97" s="121">
        <f>+SUM(K97,Q97:T97)</f>
        <v>1.0000000000000002</v>
      </c>
    </row>
    <row r="98" spans="1:22" ht="14.7" outlineLevel="1" thickBot="1" x14ac:dyDescent="0.55000000000000004">
      <c r="B98" s="38" t="s">
        <v>55</v>
      </c>
      <c r="C98" s="16"/>
      <c r="D98" s="16"/>
      <c r="E98" s="15"/>
      <c r="F98" s="15"/>
      <c r="G98" s="92">
        <v>0</v>
      </c>
      <c r="H98" s="27">
        <v>1</v>
      </c>
      <c r="I98" s="27">
        <v>0</v>
      </c>
      <c r="J98" s="27">
        <v>0</v>
      </c>
      <c r="K98" s="118">
        <f>SUM(G98:J98)</f>
        <v>1</v>
      </c>
      <c r="L98" s="92">
        <v>0</v>
      </c>
      <c r="M98" s="27">
        <v>0</v>
      </c>
      <c r="N98" s="27">
        <v>0</v>
      </c>
      <c r="O98" s="27">
        <v>0</v>
      </c>
      <c r="P98" s="27">
        <v>0</v>
      </c>
      <c r="Q98" s="118">
        <f t="shared" si="32"/>
        <v>0</v>
      </c>
      <c r="R98" s="27">
        <v>0</v>
      </c>
      <c r="S98" s="27">
        <v>0</v>
      </c>
      <c r="T98" s="27">
        <v>0</v>
      </c>
      <c r="U98" s="122">
        <f>+SUM(K98,Q98:T98)</f>
        <v>1</v>
      </c>
    </row>
    <row r="99" spans="1:22" outlineLevel="1" x14ac:dyDescent="0.5"/>
    <row r="100" spans="1:22" ht="14.7" thickBot="1" x14ac:dyDescent="0.55000000000000004"/>
    <row r="101" spans="1:22" ht="14.7" thickBot="1" x14ac:dyDescent="0.55000000000000004">
      <c r="B101" s="124" t="s">
        <v>29</v>
      </c>
      <c r="C101" s="125"/>
      <c r="D101" s="125"/>
      <c r="E101" s="126"/>
      <c r="F101" s="126"/>
      <c r="G101" s="127"/>
      <c r="H101" s="128"/>
      <c r="I101" s="128"/>
      <c r="J101" s="128"/>
      <c r="K101" s="129"/>
      <c r="L101" s="127"/>
      <c r="M101" s="128"/>
      <c r="N101" s="128"/>
      <c r="O101" s="128"/>
      <c r="P101" s="128"/>
      <c r="Q101" s="129"/>
      <c r="R101" s="128"/>
      <c r="S101" s="128"/>
      <c r="T101" s="128"/>
      <c r="U101" s="130"/>
    </row>
    <row r="102" spans="1:22" s="9" customFormat="1" outlineLevel="1" x14ac:dyDescent="0.5">
      <c r="A102" s="1"/>
      <c r="B102" s="84" t="s">
        <v>21</v>
      </c>
      <c r="C102" s="77"/>
      <c r="D102" s="77"/>
      <c r="G102" s="50"/>
      <c r="H102" s="60"/>
      <c r="I102" s="60"/>
      <c r="J102" s="60"/>
      <c r="K102" s="115"/>
      <c r="L102" s="50"/>
      <c r="M102" s="60"/>
      <c r="N102" s="60"/>
      <c r="O102" s="20"/>
      <c r="P102" s="60"/>
      <c r="Q102" s="115"/>
      <c r="R102" s="20"/>
      <c r="S102" s="20"/>
      <c r="T102" s="20"/>
      <c r="U102" s="123"/>
      <c r="V102" s="1"/>
    </row>
    <row r="103" spans="1:22" outlineLevel="1" x14ac:dyDescent="0.5">
      <c r="B103" s="14" t="s">
        <v>59</v>
      </c>
      <c r="C103" s="1"/>
      <c r="D103" s="1"/>
      <c r="G103" s="52"/>
      <c r="H103" s="61"/>
      <c r="I103" s="61"/>
      <c r="J103" s="61"/>
      <c r="K103" s="116"/>
      <c r="L103" s="52"/>
      <c r="M103" s="61"/>
      <c r="N103" s="61"/>
      <c r="O103" s="21"/>
      <c r="P103" s="61"/>
      <c r="Q103" s="116"/>
      <c r="R103" s="21"/>
      <c r="S103" s="21"/>
      <c r="T103" s="21"/>
      <c r="U103" s="121"/>
    </row>
    <row r="104" spans="1:22" outlineLevel="1" x14ac:dyDescent="0.5">
      <c r="B104" s="14"/>
      <c r="C104" s="2" t="s">
        <v>52</v>
      </c>
      <c r="D104" s="1"/>
      <c r="G104" s="52">
        <v>0.3</v>
      </c>
      <c r="H104" s="61">
        <v>0.7</v>
      </c>
      <c r="I104" s="21">
        <v>0</v>
      </c>
      <c r="J104" s="21">
        <v>0</v>
      </c>
      <c r="K104" s="116">
        <f>SUM(G104:J104)</f>
        <v>1</v>
      </c>
      <c r="L104" s="52">
        <v>0</v>
      </c>
      <c r="M104" s="61">
        <v>0</v>
      </c>
      <c r="N104" s="61">
        <v>0</v>
      </c>
      <c r="O104" s="21">
        <v>0</v>
      </c>
      <c r="P104" s="61">
        <v>0</v>
      </c>
      <c r="Q104" s="116">
        <f>SUM(L104:P104)</f>
        <v>0</v>
      </c>
      <c r="R104" s="21">
        <v>0</v>
      </c>
      <c r="S104" s="21">
        <v>0</v>
      </c>
      <c r="T104" s="21">
        <v>0</v>
      </c>
      <c r="U104" s="121">
        <f>+SUM(K104,Q104:T104)</f>
        <v>1</v>
      </c>
    </row>
    <row r="105" spans="1:22" outlineLevel="1" x14ac:dyDescent="0.5">
      <c r="B105" s="85"/>
      <c r="C105" s="2" t="s">
        <v>58</v>
      </c>
      <c r="D105" s="1"/>
      <c r="G105" s="52">
        <v>1</v>
      </c>
      <c r="H105" s="61">
        <v>0</v>
      </c>
      <c r="I105" s="21">
        <v>0</v>
      </c>
      <c r="J105" s="21">
        <v>0</v>
      </c>
      <c r="K105" s="116">
        <f>SUM(G105:J105)</f>
        <v>1</v>
      </c>
      <c r="L105" s="52">
        <v>0</v>
      </c>
      <c r="M105" s="61">
        <v>0</v>
      </c>
      <c r="N105" s="61">
        <v>0</v>
      </c>
      <c r="O105" s="21">
        <v>0</v>
      </c>
      <c r="P105" s="61">
        <v>0</v>
      </c>
      <c r="Q105" s="116">
        <f t="shared" ref="Q105:Q107" si="33">SUM(L105:P105)</f>
        <v>0</v>
      </c>
      <c r="R105" s="21">
        <v>0</v>
      </c>
      <c r="S105" s="21">
        <v>0</v>
      </c>
      <c r="T105" s="21">
        <v>0</v>
      </c>
      <c r="U105" s="121">
        <f>+SUM(K105,Q105:T105)</f>
        <v>1</v>
      </c>
    </row>
    <row r="106" spans="1:22" outlineLevel="1" x14ac:dyDescent="0.5">
      <c r="B106" s="14" t="s">
        <v>5</v>
      </c>
      <c r="C106" s="1"/>
      <c r="D106" s="1"/>
      <c r="E106" s="2"/>
      <c r="F106" s="2"/>
      <c r="G106" s="52">
        <v>0.01</v>
      </c>
      <c r="H106" s="61">
        <v>0.01</v>
      </c>
      <c r="I106" s="21">
        <v>0.01</v>
      </c>
      <c r="J106" s="21">
        <v>0.01</v>
      </c>
      <c r="K106" s="116">
        <f>SUM(G106:J106)</f>
        <v>0.04</v>
      </c>
      <c r="L106" s="52">
        <v>0.1</v>
      </c>
      <c r="M106" s="61">
        <v>0.1</v>
      </c>
      <c r="N106" s="61">
        <v>0.1</v>
      </c>
      <c r="O106" s="21">
        <v>0.65</v>
      </c>
      <c r="P106" s="61">
        <v>0</v>
      </c>
      <c r="Q106" s="116">
        <f t="shared" si="33"/>
        <v>0.95000000000000007</v>
      </c>
      <c r="R106" s="21">
        <v>0.01</v>
      </c>
      <c r="S106" s="21">
        <v>0</v>
      </c>
      <c r="T106" s="21">
        <v>0</v>
      </c>
      <c r="U106" s="121">
        <f>+SUM(K106,Q106:T106)</f>
        <v>1</v>
      </c>
    </row>
    <row r="107" spans="1:22" outlineLevel="1" x14ac:dyDescent="0.5">
      <c r="B107" s="14" t="s">
        <v>6</v>
      </c>
      <c r="C107" s="1"/>
      <c r="D107" s="1"/>
      <c r="G107" s="52">
        <v>0.05</v>
      </c>
      <c r="H107" s="61">
        <v>0</v>
      </c>
      <c r="I107" s="21">
        <v>0.3</v>
      </c>
      <c r="J107" s="21">
        <v>0.01</v>
      </c>
      <c r="K107" s="116">
        <f>SUM(G107:J107)</f>
        <v>0.36</v>
      </c>
      <c r="L107" s="52">
        <v>0.04</v>
      </c>
      <c r="M107" s="61">
        <v>0.04</v>
      </c>
      <c r="N107" s="61">
        <v>0.04</v>
      </c>
      <c r="O107" s="21">
        <v>0.5</v>
      </c>
      <c r="P107" s="61">
        <v>0</v>
      </c>
      <c r="Q107" s="116">
        <f t="shared" si="33"/>
        <v>0.62</v>
      </c>
      <c r="R107" s="21">
        <v>0.01</v>
      </c>
      <c r="S107" s="21">
        <v>0.01</v>
      </c>
      <c r="T107" s="21">
        <v>0</v>
      </c>
      <c r="U107" s="121">
        <f>+SUM(K107,Q107:T107)</f>
        <v>1</v>
      </c>
    </row>
    <row r="108" spans="1:22" ht="7.1" customHeight="1" outlineLevel="1" x14ac:dyDescent="0.5">
      <c r="B108" s="85"/>
      <c r="C108" s="1"/>
      <c r="D108" s="1"/>
      <c r="G108" s="52"/>
      <c r="H108" s="61"/>
      <c r="I108" s="21"/>
      <c r="J108" s="21"/>
      <c r="K108" s="116"/>
      <c r="L108" s="52"/>
      <c r="M108" s="61"/>
      <c r="N108" s="61"/>
      <c r="O108" s="21"/>
      <c r="P108" s="61"/>
      <c r="Q108" s="116"/>
      <c r="R108" s="21"/>
      <c r="S108" s="21"/>
      <c r="T108" s="21"/>
      <c r="U108" s="121"/>
    </row>
    <row r="109" spans="1:22" s="9" customFormat="1" outlineLevel="1" x14ac:dyDescent="0.5">
      <c r="A109" s="1"/>
      <c r="B109" s="86" t="s">
        <v>22</v>
      </c>
      <c r="G109" s="51"/>
      <c r="H109" s="62"/>
      <c r="I109" s="22"/>
      <c r="J109" s="22"/>
      <c r="K109" s="117"/>
      <c r="L109" s="51"/>
      <c r="M109" s="62"/>
      <c r="N109" s="62"/>
      <c r="O109" s="22"/>
      <c r="P109" s="62"/>
      <c r="Q109" s="117"/>
      <c r="R109" s="22"/>
      <c r="S109" s="22"/>
      <c r="T109" s="22"/>
      <c r="U109" s="71"/>
      <c r="V109" s="1"/>
    </row>
    <row r="110" spans="1:22" outlineLevel="1" x14ac:dyDescent="0.5">
      <c r="B110" s="14" t="s">
        <v>53</v>
      </c>
      <c r="C110" s="1"/>
      <c r="D110" s="1"/>
      <c r="G110" s="52"/>
      <c r="H110" s="61"/>
      <c r="I110" s="21"/>
      <c r="J110" s="21"/>
      <c r="K110" s="116"/>
      <c r="L110" s="52"/>
      <c r="M110" s="61"/>
      <c r="N110" s="61"/>
      <c r="O110" s="21"/>
      <c r="P110" s="61"/>
      <c r="Q110" s="116"/>
      <c r="R110" s="21"/>
      <c r="S110" s="21"/>
      <c r="T110" s="21"/>
      <c r="U110" s="121"/>
    </row>
    <row r="111" spans="1:22" outlineLevel="1" x14ac:dyDescent="0.5">
      <c r="B111" s="14"/>
      <c r="C111" s="2" t="s">
        <v>47</v>
      </c>
      <c r="D111" s="1"/>
      <c r="G111" s="52">
        <v>0</v>
      </c>
      <c r="H111" s="61">
        <v>0</v>
      </c>
      <c r="I111" s="21">
        <v>0</v>
      </c>
      <c r="J111" s="21">
        <v>0</v>
      </c>
      <c r="K111" s="116">
        <f>SUM(G111:J111)</f>
        <v>0</v>
      </c>
      <c r="L111" s="52">
        <v>0</v>
      </c>
      <c r="M111" s="61">
        <v>0</v>
      </c>
      <c r="N111" s="61">
        <v>0.93</v>
      </c>
      <c r="O111" s="21">
        <v>0</v>
      </c>
      <c r="P111" s="61">
        <v>0</v>
      </c>
      <c r="Q111" s="116">
        <f t="shared" ref="Q111:Q114" si="34">SUM(L111:P111)</f>
        <v>0.93</v>
      </c>
      <c r="R111" s="21">
        <v>7.0000000000000007E-2</v>
      </c>
      <c r="S111" s="21">
        <v>0</v>
      </c>
      <c r="T111" s="21">
        <v>0</v>
      </c>
      <c r="U111" s="121">
        <f>+SUM(K111,Q111:T111)</f>
        <v>1</v>
      </c>
    </row>
    <row r="112" spans="1:22" outlineLevel="1" x14ac:dyDescent="0.5">
      <c r="B112" s="85"/>
      <c r="C112" s="2" t="s">
        <v>48</v>
      </c>
      <c r="D112" s="1"/>
      <c r="E112" s="2"/>
      <c r="F112" s="2"/>
      <c r="G112" s="52">
        <v>0</v>
      </c>
      <c r="H112" s="61">
        <v>0</v>
      </c>
      <c r="I112" s="21">
        <v>0</v>
      </c>
      <c r="J112" s="21">
        <v>0</v>
      </c>
      <c r="K112" s="116">
        <f>SUM(G112:J112)</f>
        <v>0</v>
      </c>
      <c r="L112" s="52">
        <v>0.9</v>
      </c>
      <c r="M112" s="61">
        <v>0</v>
      </c>
      <c r="N112" s="61">
        <v>0.03</v>
      </c>
      <c r="O112" s="21">
        <v>0</v>
      </c>
      <c r="P112" s="61">
        <v>0</v>
      </c>
      <c r="Q112" s="116">
        <f t="shared" si="34"/>
        <v>0.93</v>
      </c>
      <c r="R112" s="21">
        <v>7.0000000000000007E-2</v>
      </c>
      <c r="S112" s="21">
        <v>0</v>
      </c>
      <c r="T112" s="21">
        <v>0</v>
      </c>
      <c r="U112" s="121">
        <f>+SUM(K112,Q112:T112)</f>
        <v>1</v>
      </c>
    </row>
    <row r="113" spans="1:22" outlineLevel="1" x14ac:dyDescent="0.5">
      <c r="B113" s="14" t="s">
        <v>46</v>
      </c>
      <c r="C113" s="2"/>
      <c r="D113" s="1"/>
      <c r="E113" s="2"/>
      <c r="F113" s="2"/>
      <c r="G113" s="52">
        <v>0</v>
      </c>
      <c r="H113" s="61">
        <v>0</v>
      </c>
      <c r="I113" s="21">
        <v>0</v>
      </c>
      <c r="J113" s="21">
        <v>0</v>
      </c>
      <c r="K113" s="116">
        <f>SUM(G113:J113)</f>
        <v>0</v>
      </c>
      <c r="L113" s="52">
        <v>0.93</v>
      </c>
      <c r="M113" s="61">
        <v>0</v>
      </c>
      <c r="N113" s="61">
        <v>0</v>
      </c>
      <c r="O113" s="21">
        <v>0</v>
      </c>
      <c r="P113" s="61">
        <v>0</v>
      </c>
      <c r="Q113" s="116">
        <f t="shared" si="34"/>
        <v>0.93</v>
      </c>
      <c r="R113" s="21">
        <v>7.0000000000000007E-2</v>
      </c>
      <c r="S113" s="21">
        <v>0</v>
      </c>
      <c r="T113" s="21">
        <v>0</v>
      </c>
      <c r="U113" s="121">
        <f>+SUM(K113,Q113:T113)</f>
        <v>1</v>
      </c>
    </row>
    <row r="114" spans="1:22" outlineLevel="1" x14ac:dyDescent="0.5">
      <c r="B114" s="14" t="s">
        <v>8</v>
      </c>
      <c r="C114" s="1"/>
      <c r="D114" s="1"/>
      <c r="E114" s="2"/>
      <c r="F114" s="2"/>
      <c r="G114" s="52">
        <v>0</v>
      </c>
      <c r="H114" s="61">
        <v>0</v>
      </c>
      <c r="I114" s="21">
        <v>0.01</v>
      </c>
      <c r="J114" s="21">
        <v>0</v>
      </c>
      <c r="K114" s="116">
        <f>SUM(G114:J114)</f>
        <v>0.01</v>
      </c>
      <c r="L114" s="52">
        <v>0.255</v>
      </c>
      <c r="M114" s="61">
        <v>0.7</v>
      </c>
      <c r="N114" s="61">
        <v>2.5000000000000001E-2</v>
      </c>
      <c r="O114" s="21">
        <v>0</v>
      </c>
      <c r="P114" s="61">
        <v>0</v>
      </c>
      <c r="Q114" s="116">
        <f t="shared" si="34"/>
        <v>0.98</v>
      </c>
      <c r="R114" s="21">
        <v>0.01</v>
      </c>
      <c r="S114" s="21">
        <v>0</v>
      </c>
      <c r="T114" s="21">
        <v>0</v>
      </c>
      <c r="U114" s="121">
        <f>+SUM(K114,Q114:T114)</f>
        <v>1</v>
      </c>
    </row>
    <row r="115" spans="1:22" ht="7.1" customHeight="1" outlineLevel="1" x14ac:dyDescent="0.5">
      <c r="B115" s="85"/>
      <c r="C115" s="1"/>
      <c r="D115" s="1"/>
      <c r="E115" s="2"/>
      <c r="F115" s="2"/>
      <c r="G115" s="52"/>
      <c r="H115" s="61"/>
      <c r="I115" s="21"/>
      <c r="J115" s="21"/>
      <c r="K115" s="116"/>
      <c r="L115" s="52"/>
      <c r="M115" s="61"/>
      <c r="N115" s="61"/>
      <c r="O115" s="21"/>
      <c r="P115" s="61"/>
      <c r="Q115" s="116"/>
      <c r="R115" s="21"/>
      <c r="S115" s="21"/>
      <c r="T115" s="21"/>
      <c r="U115" s="121"/>
    </row>
    <row r="116" spans="1:22" s="9" customFormat="1" outlineLevel="1" x14ac:dyDescent="0.5">
      <c r="A116" s="1"/>
      <c r="B116" s="84" t="s">
        <v>23</v>
      </c>
      <c r="G116" s="51"/>
      <c r="H116" s="62"/>
      <c r="I116" s="22"/>
      <c r="J116" s="22"/>
      <c r="K116" s="117"/>
      <c r="L116" s="51"/>
      <c r="M116" s="62"/>
      <c r="N116" s="62"/>
      <c r="O116" s="22"/>
      <c r="P116" s="62"/>
      <c r="Q116" s="117"/>
      <c r="R116" s="22"/>
      <c r="S116" s="22"/>
      <c r="T116" s="22"/>
      <c r="U116" s="71"/>
      <c r="V116" s="1"/>
    </row>
    <row r="117" spans="1:22" outlineLevel="1" x14ac:dyDescent="0.5">
      <c r="B117" s="14" t="s">
        <v>54</v>
      </c>
      <c r="C117" s="1"/>
      <c r="D117" s="1"/>
      <c r="E117" s="2"/>
      <c r="F117" s="2"/>
      <c r="G117" s="52">
        <v>0</v>
      </c>
      <c r="H117" s="61">
        <v>0.5</v>
      </c>
      <c r="I117" s="21">
        <v>0</v>
      </c>
      <c r="J117" s="21">
        <v>0</v>
      </c>
      <c r="K117" s="116">
        <f>SUM(G117:J117)</f>
        <v>0.5</v>
      </c>
      <c r="L117" s="52">
        <v>0</v>
      </c>
      <c r="M117" s="61">
        <v>0</v>
      </c>
      <c r="N117" s="61">
        <v>0</v>
      </c>
      <c r="O117" s="21">
        <v>0</v>
      </c>
      <c r="P117" s="61">
        <v>0.5</v>
      </c>
      <c r="Q117" s="116">
        <f>SUM(L117:P117)</f>
        <v>0.5</v>
      </c>
      <c r="R117" s="21">
        <v>0</v>
      </c>
      <c r="S117" s="21">
        <v>0</v>
      </c>
      <c r="T117" s="21">
        <v>0</v>
      </c>
      <c r="U117" s="121">
        <f>+SUM(K117,Q117:T117)</f>
        <v>1</v>
      </c>
    </row>
    <row r="118" spans="1:22" outlineLevel="1" x14ac:dyDescent="0.5">
      <c r="B118" s="14" t="s">
        <v>9</v>
      </c>
      <c r="C118" s="1"/>
      <c r="D118" s="1"/>
      <c r="E118" s="2"/>
      <c r="F118" s="2"/>
      <c r="G118" s="52">
        <v>1</v>
      </c>
      <c r="H118" s="61">
        <v>0</v>
      </c>
      <c r="I118" s="21">
        <v>0</v>
      </c>
      <c r="J118" s="21">
        <v>0</v>
      </c>
      <c r="K118" s="116">
        <f>SUM(G118:J118)</f>
        <v>1</v>
      </c>
      <c r="L118" s="52">
        <v>0</v>
      </c>
      <c r="M118" s="61">
        <v>0</v>
      </c>
      <c r="N118" s="61">
        <v>0</v>
      </c>
      <c r="O118" s="21">
        <v>0</v>
      </c>
      <c r="P118" s="61">
        <v>0</v>
      </c>
      <c r="Q118" s="116">
        <f>SUM(L118:P118)</f>
        <v>0</v>
      </c>
      <c r="R118" s="21">
        <v>0</v>
      </c>
      <c r="S118" s="21">
        <v>0</v>
      </c>
      <c r="T118" s="21">
        <v>0</v>
      </c>
      <c r="U118" s="121">
        <f>+SUM(K118,Q118:T118)</f>
        <v>1</v>
      </c>
    </row>
    <row r="119" spans="1:22" ht="7.1" customHeight="1" outlineLevel="1" x14ac:dyDescent="0.5">
      <c r="B119" s="85"/>
      <c r="C119" s="1"/>
      <c r="D119" s="1"/>
      <c r="G119" s="52"/>
      <c r="H119" s="61"/>
      <c r="I119" s="21"/>
      <c r="J119" s="21"/>
      <c r="K119" s="116"/>
      <c r="L119" s="52"/>
      <c r="M119" s="61"/>
      <c r="N119" s="61"/>
      <c r="O119" s="21"/>
      <c r="P119" s="61"/>
      <c r="Q119" s="116"/>
      <c r="R119" s="21"/>
      <c r="S119" s="21"/>
      <c r="T119" s="21"/>
      <c r="U119" s="121"/>
    </row>
    <row r="120" spans="1:22" s="9" customFormat="1" outlineLevel="1" x14ac:dyDescent="0.5">
      <c r="A120" s="1"/>
      <c r="B120" s="84" t="s">
        <v>10</v>
      </c>
      <c r="G120" s="51"/>
      <c r="H120" s="62"/>
      <c r="I120" s="22"/>
      <c r="J120" s="22"/>
      <c r="K120" s="117"/>
      <c r="L120" s="51"/>
      <c r="M120" s="62"/>
      <c r="N120" s="62"/>
      <c r="O120" s="22"/>
      <c r="P120" s="62"/>
      <c r="Q120" s="117"/>
      <c r="R120" s="22"/>
      <c r="S120" s="22"/>
      <c r="T120" s="22"/>
      <c r="U120" s="71"/>
      <c r="V120" s="1"/>
    </row>
    <row r="121" spans="1:22" outlineLevel="1" x14ac:dyDescent="0.5">
      <c r="B121" s="14" t="s">
        <v>49</v>
      </c>
      <c r="D121" s="1"/>
      <c r="G121" s="52">
        <v>0.78</v>
      </c>
      <c r="H121" s="61">
        <v>0</v>
      </c>
      <c r="I121" s="21">
        <v>0</v>
      </c>
      <c r="J121" s="21">
        <v>0</v>
      </c>
      <c r="K121" s="116">
        <f>SUM(G121:J121)</f>
        <v>0.78</v>
      </c>
      <c r="L121" s="52">
        <v>0</v>
      </c>
      <c r="M121" s="61">
        <v>0</v>
      </c>
      <c r="N121" s="61">
        <v>0</v>
      </c>
      <c r="O121" s="311">
        <v>0.22</v>
      </c>
      <c r="P121" s="61">
        <v>0</v>
      </c>
      <c r="Q121" s="116">
        <f t="shared" ref="Q121:Q122" si="35">SUM(L121:P121)</f>
        <v>0.22</v>
      </c>
      <c r="R121" s="21">
        <v>0</v>
      </c>
      <c r="S121" s="21">
        <v>0</v>
      </c>
      <c r="T121" s="21">
        <v>0</v>
      </c>
      <c r="U121" s="121">
        <f>+SUM(K121,Q121:T121)</f>
        <v>1</v>
      </c>
    </row>
    <row r="122" spans="1:22" outlineLevel="1" x14ac:dyDescent="0.5">
      <c r="B122" s="14" t="s">
        <v>50</v>
      </c>
      <c r="D122" s="1"/>
      <c r="G122" s="52">
        <v>0.39</v>
      </c>
      <c r="H122" s="61">
        <v>0</v>
      </c>
      <c r="I122" s="21">
        <v>0</v>
      </c>
      <c r="J122" s="21">
        <v>0</v>
      </c>
      <c r="K122" s="116">
        <f>SUM(G122:J122)</f>
        <v>0.39</v>
      </c>
      <c r="L122" s="52">
        <v>0.17499999999999999</v>
      </c>
      <c r="M122" s="61">
        <v>0.17499999999999999</v>
      </c>
      <c r="N122" s="61">
        <v>0.01</v>
      </c>
      <c r="O122" s="311">
        <v>0.22</v>
      </c>
      <c r="P122" s="61">
        <v>0</v>
      </c>
      <c r="Q122" s="116">
        <f t="shared" si="35"/>
        <v>0.57999999999999996</v>
      </c>
      <c r="R122" s="21">
        <v>0.03</v>
      </c>
      <c r="S122" s="21">
        <v>0</v>
      </c>
      <c r="T122" s="21">
        <v>0</v>
      </c>
      <c r="U122" s="312">
        <f>+SUM(K122,Q122:T122)</f>
        <v>1</v>
      </c>
    </row>
    <row r="123" spans="1:22" ht="7.1" customHeight="1" outlineLevel="1" x14ac:dyDescent="0.5">
      <c r="B123" s="85"/>
      <c r="C123" s="1"/>
      <c r="D123" s="1"/>
      <c r="G123" s="52"/>
      <c r="H123" s="61"/>
      <c r="I123" s="21"/>
      <c r="J123" s="21"/>
      <c r="K123" s="116"/>
      <c r="L123" s="52"/>
      <c r="M123" s="61"/>
      <c r="N123" s="61"/>
      <c r="O123" s="21"/>
      <c r="P123" s="61"/>
      <c r="Q123" s="116"/>
      <c r="R123" s="21"/>
      <c r="S123" s="21"/>
      <c r="T123" s="21"/>
      <c r="U123" s="121"/>
    </row>
    <row r="124" spans="1:22" s="9" customFormat="1" outlineLevel="1" x14ac:dyDescent="0.5">
      <c r="A124" s="1"/>
      <c r="B124" s="84" t="s">
        <v>24</v>
      </c>
      <c r="G124" s="51"/>
      <c r="H124" s="62"/>
      <c r="I124" s="22"/>
      <c r="J124" s="22"/>
      <c r="K124" s="117"/>
      <c r="L124" s="51"/>
      <c r="M124" s="62"/>
      <c r="N124" s="62"/>
      <c r="O124" s="22"/>
      <c r="P124" s="62"/>
      <c r="Q124" s="117"/>
      <c r="R124" s="22"/>
      <c r="S124" s="22"/>
      <c r="T124" s="22"/>
      <c r="U124" s="71"/>
      <c r="V124" s="1"/>
    </row>
    <row r="125" spans="1:22" outlineLevel="1" x14ac:dyDescent="0.5">
      <c r="B125" s="14" t="s">
        <v>12</v>
      </c>
      <c r="C125" s="1"/>
      <c r="D125" s="1"/>
      <c r="G125" s="52"/>
      <c r="H125" s="61"/>
      <c r="I125" s="21"/>
      <c r="J125" s="21"/>
      <c r="K125" s="116"/>
      <c r="L125" s="52"/>
      <c r="M125" s="61"/>
      <c r="N125" s="61"/>
      <c r="O125" s="21"/>
      <c r="P125" s="61"/>
      <c r="Q125" s="116"/>
      <c r="R125" s="21"/>
      <c r="S125" s="21"/>
      <c r="T125" s="21"/>
      <c r="U125" s="121"/>
    </row>
    <row r="126" spans="1:22" outlineLevel="1" x14ac:dyDescent="0.5">
      <c r="B126" s="85"/>
      <c r="C126" s="2" t="s">
        <v>13</v>
      </c>
      <c r="D126" s="2"/>
      <c r="E126" s="2"/>
      <c r="F126" s="2"/>
      <c r="G126" s="52">
        <v>0.25</v>
      </c>
      <c r="H126" s="61">
        <v>0</v>
      </c>
      <c r="I126" s="21">
        <v>0.25</v>
      </c>
      <c r="J126" s="21">
        <v>0.25</v>
      </c>
      <c r="K126" s="116">
        <f>SUM(G126:J126)</f>
        <v>0.75</v>
      </c>
      <c r="L126" s="61">
        <v>0</v>
      </c>
      <c r="M126" s="61">
        <v>0</v>
      </c>
      <c r="N126" s="61">
        <v>0</v>
      </c>
      <c r="O126" s="21">
        <v>0.25</v>
      </c>
      <c r="P126" s="61">
        <v>0</v>
      </c>
      <c r="Q126" s="116">
        <f>SUM(L126:P126)</f>
        <v>0.25</v>
      </c>
      <c r="R126" s="21">
        <v>0</v>
      </c>
      <c r="S126" s="21">
        <v>0</v>
      </c>
      <c r="T126" s="21">
        <v>0</v>
      </c>
      <c r="U126" s="121">
        <f>+SUM(K126,Q126:T126)</f>
        <v>1</v>
      </c>
    </row>
    <row r="127" spans="1:22" outlineLevel="1" x14ac:dyDescent="0.5">
      <c r="B127" s="13" t="s">
        <v>14</v>
      </c>
      <c r="C127" s="1"/>
      <c r="D127" s="1"/>
      <c r="G127" s="52"/>
      <c r="H127" s="61"/>
      <c r="I127" s="21"/>
      <c r="J127" s="21"/>
      <c r="K127" s="116"/>
      <c r="L127" s="52"/>
      <c r="M127" s="61"/>
      <c r="N127" s="61"/>
      <c r="O127" s="21"/>
      <c r="P127" s="61"/>
      <c r="Q127" s="116"/>
      <c r="R127" s="21"/>
      <c r="S127" s="21"/>
      <c r="T127" s="21"/>
      <c r="U127" s="121"/>
    </row>
    <row r="128" spans="1:22" outlineLevel="1" x14ac:dyDescent="0.5">
      <c r="B128" s="13"/>
      <c r="C128" s="2" t="s">
        <v>15</v>
      </c>
      <c r="D128" s="1"/>
      <c r="G128" s="52">
        <v>0</v>
      </c>
      <c r="H128" s="61">
        <v>0</v>
      </c>
      <c r="I128" s="21">
        <v>0</v>
      </c>
      <c r="J128" s="21">
        <v>0</v>
      </c>
      <c r="K128" s="116">
        <f>SUM(G128:J128)</f>
        <v>0</v>
      </c>
      <c r="L128" s="61">
        <v>0</v>
      </c>
      <c r="M128" s="61">
        <v>0.46500000000000002</v>
      </c>
      <c r="N128" s="61">
        <v>0.46500000000000002</v>
      </c>
      <c r="O128" s="21">
        <v>0</v>
      </c>
      <c r="P128" s="61">
        <v>0</v>
      </c>
      <c r="Q128" s="116">
        <f t="shared" ref="Q128:Q131" si="36">SUM(L128:P128)</f>
        <v>0.93</v>
      </c>
      <c r="R128" s="21">
        <v>7.0000000000000007E-2</v>
      </c>
      <c r="S128" s="21">
        <v>0</v>
      </c>
      <c r="T128" s="21">
        <v>0</v>
      </c>
      <c r="U128" s="121">
        <f>+SUM(K128,Q128:T128)</f>
        <v>1</v>
      </c>
    </row>
    <row r="129" spans="1:22" outlineLevel="1" x14ac:dyDescent="0.5">
      <c r="B129" s="13"/>
      <c r="C129" s="2" t="s">
        <v>16</v>
      </c>
      <c r="D129" s="1"/>
      <c r="G129" s="194">
        <v>3.5000000000000003E-2</v>
      </c>
      <c r="H129" s="61">
        <v>3.5000000000000003E-2</v>
      </c>
      <c r="I129" s="21">
        <v>0</v>
      </c>
      <c r="J129" s="21">
        <v>0</v>
      </c>
      <c r="K129" s="116">
        <f>SUM(G129:J129)</f>
        <v>7.0000000000000007E-2</v>
      </c>
      <c r="L129" s="61">
        <v>0</v>
      </c>
      <c r="M129" s="61">
        <v>0.69</v>
      </c>
      <c r="N129" s="61">
        <v>0</v>
      </c>
      <c r="O129" s="21">
        <v>0</v>
      </c>
      <c r="P129" s="61">
        <v>0</v>
      </c>
      <c r="Q129" s="116">
        <f t="shared" si="36"/>
        <v>0.69</v>
      </c>
      <c r="R129" s="21">
        <v>0.24</v>
      </c>
      <c r="S129" s="21">
        <v>0</v>
      </c>
      <c r="T129" s="21">
        <v>0</v>
      </c>
      <c r="U129" s="121">
        <f>+SUM(K129,Q129:T129)</f>
        <v>1</v>
      </c>
    </row>
    <row r="130" spans="1:22" outlineLevel="1" x14ac:dyDescent="0.5">
      <c r="B130" s="13"/>
      <c r="C130" s="2" t="s">
        <v>17</v>
      </c>
      <c r="D130" s="1"/>
      <c r="G130" s="52">
        <v>0</v>
      </c>
      <c r="H130" s="61">
        <v>0</v>
      </c>
      <c r="I130" s="21">
        <v>0</v>
      </c>
      <c r="J130" s="21">
        <v>0</v>
      </c>
      <c r="K130" s="116">
        <f>SUM(G130:J130)</f>
        <v>0</v>
      </c>
      <c r="L130" s="61">
        <v>0</v>
      </c>
      <c r="M130" s="61">
        <v>0.5</v>
      </c>
      <c r="N130" s="61">
        <v>0</v>
      </c>
      <c r="O130" s="21">
        <v>0</v>
      </c>
      <c r="P130" s="61">
        <v>0</v>
      </c>
      <c r="Q130" s="116">
        <f t="shared" si="36"/>
        <v>0.5</v>
      </c>
      <c r="R130" s="21">
        <v>0</v>
      </c>
      <c r="S130" s="21">
        <v>0</v>
      </c>
      <c r="T130" s="21">
        <v>0.5</v>
      </c>
      <c r="U130" s="121">
        <f>+SUM(K130,Q130:T130)</f>
        <v>1</v>
      </c>
    </row>
    <row r="131" spans="1:22" outlineLevel="1" x14ac:dyDescent="0.5">
      <c r="B131" s="85"/>
      <c r="C131" s="2" t="s">
        <v>18</v>
      </c>
      <c r="D131" s="1"/>
      <c r="G131" s="52">
        <v>0</v>
      </c>
      <c r="H131" s="61">
        <v>0</v>
      </c>
      <c r="I131" s="21">
        <v>0</v>
      </c>
      <c r="J131" s="21">
        <v>0</v>
      </c>
      <c r="K131" s="116">
        <f>SUM(G131:J131)</f>
        <v>0</v>
      </c>
      <c r="L131" s="61">
        <v>0</v>
      </c>
      <c r="M131" s="61">
        <v>0</v>
      </c>
      <c r="N131" s="61">
        <v>0</v>
      </c>
      <c r="O131" s="21">
        <v>0</v>
      </c>
      <c r="P131" s="61">
        <v>0</v>
      </c>
      <c r="Q131" s="116">
        <f t="shared" si="36"/>
        <v>0</v>
      </c>
      <c r="R131" s="21">
        <v>0</v>
      </c>
      <c r="S131" s="21">
        <v>0</v>
      </c>
      <c r="T131" s="21">
        <v>1</v>
      </c>
      <c r="U131" s="121">
        <f>+SUM(K131,Q131:T131)</f>
        <v>1</v>
      </c>
    </row>
    <row r="132" spans="1:22" ht="7.1" customHeight="1" outlineLevel="1" x14ac:dyDescent="0.5">
      <c r="B132" s="85"/>
      <c r="C132" s="1"/>
      <c r="D132" s="1"/>
      <c r="G132" s="52"/>
      <c r="H132" s="61"/>
      <c r="I132" s="21"/>
      <c r="J132" s="21"/>
      <c r="K132" s="116"/>
      <c r="L132" s="52"/>
      <c r="M132" s="61"/>
      <c r="N132" s="61"/>
      <c r="O132" s="21"/>
      <c r="P132" s="61"/>
      <c r="Q132" s="116"/>
      <c r="R132" s="21"/>
      <c r="S132" s="21"/>
      <c r="T132" s="21"/>
      <c r="U132" s="121"/>
    </row>
    <row r="133" spans="1:22" s="9" customFormat="1" outlineLevel="1" x14ac:dyDescent="0.5">
      <c r="A133" s="1"/>
      <c r="B133" s="86" t="s">
        <v>19</v>
      </c>
      <c r="E133" s="11"/>
      <c r="F133" s="11"/>
      <c r="G133" s="51"/>
      <c r="H133" s="62"/>
      <c r="I133" s="22"/>
      <c r="J133" s="22"/>
      <c r="K133" s="117"/>
      <c r="L133" s="51"/>
      <c r="M133" s="62"/>
      <c r="N133" s="62"/>
      <c r="O133" s="22"/>
      <c r="P133" s="62"/>
      <c r="Q133" s="117"/>
      <c r="R133" s="22"/>
      <c r="S133" s="22"/>
      <c r="T133" s="22"/>
      <c r="U133" s="71"/>
      <c r="V133" s="1"/>
    </row>
    <row r="134" spans="1:22" outlineLevel="1" x14ac:dyDescent="0.5">
      <c r="B134" s="14" t="s">
        <v>19</v>
      </c>
      <c r="C134" s="1"/>
      <c r="D134" s="1"/>
      <c r="E134" s="2"/>
      <c r="F134" s="2"/>
      <c r="G134" s="52">
        <v>0</v>
      </c>
      <c r="H134" s="61">
        <v>1</v>
      </c>
      <c r="I134" s="21">
        <v>0</v>
      </c>
      <c r="J134" s="21">
        <v>0</v>
      </c>
      <c r="K134" s="116">
        <f>SUM(G134:J134)</f>
        <v>1</v>
      </c>
      <c r="L134" s="61">
        <v>0</v>
      </c>
      <c r="M134" s="61">
        <v>0</v>
      </c>
      <c r="N134" s="61">
        <v>0</v>
      </c>
      <c r="O134" s="21">
        <v>0</v>
      </c>
      <c r="P134" s="61">
        <v>0</v>
      </c>
      <c r="Q134" s="116">
        <f>SUM(L134:P134)</f>
        <v>0</v>
      </c>
      <c r="R134" s="21">
        <v>0</v>
      </c>
      <c r="S134" s="21">
        <v>0</v>
      </c>
      <c r="T134" s="21">
        <v>0</v>
      </c>
      <c r="U134" s="121">
        <f>+SUM(K134,Q134:T134)</f>
        <v>1</v>
      </c>
    </row>
    <row r="135" spans="1:22" ht="7.1" customHeight="1" outlineLevel="1" x14ac:dyDescent="0.5">
      <c r="B135" s="14"/>
      <c r="C135" s="1"/>
      <c r="D135" s="1"/>
      <c r="E135" s="2"/>
      <c r="F135" s="2"/>
      <c r="G135" s="52"/>
      <c r="H135" s="61"/>
      <c r="I135" s="21"/>
      <c r="J135" s="21"/>
      <c r="K135" s="116"/>
      <c r="L135" s="52"/>
      <c r="M135" s="61"/>
      <c r="N135" s="61"/>
      <c r="O135" s="21"/>
      <c r="P135" s="61"/>
      <c r="Q135" s="116"/>
      <c r="R135" s="21"/>
      <c r="S135" s="21"/>
      <c r="T135" s="21"/>
      <c r="U135" s="121"/>
    </row>
    <row r="136" spans="1:22" s="9" customFormat="1" outlineLevel="1" x14ac:dyDescent="0.5">
      <c r="A136" s="1"/>
      <c r="B136" s="86" t="s">
        <v>25</v>
      </c>
      <c r="G136" s="51"/>
      <c r="H136" s="62"/>
      <c r="I136" s="22"/>
      <c r="J136" s="22"/>
      <c r="K136" s="117"/>
      <c r="L136" s="51"/>
      <c r="M136" s="62"/>
      <c r="N136" s="62"/>
      <c r="O136" s="22"/>
      <c r="P136" s="62"/>
      <c r="Q136" s="117"/>
      <c r="R136" s="22"/>
      <c r="S136" s="22"/>
      <c r="T136" s="22"/>
      <c r="U136" s="71"/>
      <c r="V136" s="1"/>
    </row>
    <row r="137" spans="1:22" outlineLevel="1" x14ac:dyDescent="0.5">
      <c r="B137" s="14" t="s">
        <v>25</v>
      </c>
      <c r="C137" s="1"/>
      <c r="D137" s="1"/>
      <c r="G137" s="52">
        <v>0.9</v>
      </c>
      <c r="H137" s="61">
        <v>0</v>
      </c>
      <c r="I137" s="21">
        <v>0</v>
      </c>
      <c r="J137" s="21">
        <v>0</v>
      </c>
      <c r="K137" s="116">
        <f>SUM(G137:J137)</f>
        <v>0.9</v>
      </c>
      <c r="L137" s="52">
        <v>0</v>
      </c>
      <c r="M137" s="61">
        <v>0</v>
      </c>
      <c r="N137" s="61">
        <v>0</v>
      </c>
      <c r="O137" s="21">
        <v>0</v>
      </c>
      <c r="P137" s="61">
        <v>0</v>
      </c>
      <c r="Q137" s="116">
        <f>SUM(L137:P137)</f>
        <v>0</v>
      </c>
      <c r="R137" s="21">
        <v>0</v>
      </c>
      <c r="S137" s="21">
        <v>0.1</v>
      </c>
      <c r="T137" s="21">
        <v>0</v>
      </c>
      <c r="U137" s="121">
        <f>+SUM(K137,Q137:T137)</f>
        <v>1</v>
      </c>
    </row>
    <row r="138" spans="1:22" ht="7.1" customHeight="1" outlineLevel="1" x14ac:dyDescent="0.5">
      <c r="B138" s="14"/>
      <c r="C138" s="1"/>
      <c r="D138" s="1"/>
      <c r="G138" s="52"/>
      <c r="H138" s="61"/>
      <c r="I138" s="21"/>
      <c r="J138" s="21"/>
      <c r="K138" s="116"/>
      <c r="L138" s="52"/>
      <c r="M138" s="61"/>
      <c r="N138" s="61"/>
      <c r="O138" s="21"/>
      <c r="P138" s="61"/>
      <c r="Q138" s="116"/>
      <c r="R138" s="21"/>
      <c r="S138" s="21"/>
      <c r="T138" s="21"/>
      <c r="U138" s="121"/>
    </row>
    <row r="139" spans="1:22" s="9" customFormat="1" outlineLevel="1" x14ac:dyDescent="0.5">
      <c r="A139" s="1"/>
      <c r="B139" s="86" t="s">
        <v>4</v>
      </c>
      <c r="G139" s="51"/>
      <c r="H139" s="62"/>
      <c r="I139" s="22"/>
      <c r="J139" s="22"/>
      <c r="K139" s="117"/>
      <c r="L139" s="51"/>
      <c r="M139" s="62"/>
      <c r="N139" s="62"/>
      <c r="O139" s="22"/>
      <c r="P139" s="62"/>
      <c r="Q139" s="117"/>
      <c r="R139" s="22"/>
      <c r="S139" s="22"/>
      <c r="T139" s="22"/>
      <c r="U139" s="71"/>
      <c r="V139" s="1"/>
    </row>
    <row r="140" spans="1:22" outlineLevel="1" x14ac:dyDescent="0.5">
      <c r="B140" s="14" t="s">
        <v>20</v>
      </c>
      <c r="C140" s="1"/>
      <c r="D140" s="1"/>
      <c r="E140" s="2"/>
      <c r="F140" s="2"/>
      <c r="G140" s="52">
        <v>0.97</v>
      </c>
      <c r="H140" s="61">
        <v>0.02</v>
      </c>
      <c r="I140" s="21">
        <v>0</v>
      </c>
      <c r="J140" s="21">
        <v>0.01</v>
      </c>
      <c r="K140" s="116">
        <f>SUM(G140:J140)</f>
        <v>1</v>
      </c>
      <c r="L140" s="52">
        <v>0</v>
      </c>
      <c r="M140" s="61">
        <v>0</v>
      </c>
      <c r="N140" s="61">
        <v>0</v>
      </c>
      <c r="O140" s="21">
        <v>0</v>
      </c>
      <c r="P140" s="61">
        <v>0</v>
      </c>
      <c r="Q140" s="116">
        <f t="shared" ref="Q140:Q142" si="37">SUM(L140:P140)</f>
        <v>0</v>
      </c>
      <c r="R140" s="21">
        <v>0</v>
      </c>
      <c r="S140" s="21">
        <v>0</v>
      </c>
      <c r="T140" s="21">
        <v>0</v>
      </c>
      <c r="U140" s="121">
        <f>+SUM(K140,Q140:T140)</f>
        <v>1</v>
      </c>
    </row>
    <row r="141" spans="1:22" outlineLevel="1" x14ac:dyDescent="0.5">
      <c r="B141" s="14" t="s">
        <v>11</v>
      </c>
      <c r="C141" s="1"/>
      <c r="D141" s="1"/>
      <c r="E141" s="2"/>
      <c r="F141" s="2"/>
      <c r="G141" s="52">
        <v>7.0000000000000007E-2</v>
      </c>
      <c r="H141" s="61">
        <v>0</v>
      </c>
      <c r="I141" s="21">
        <v>0</v>
      </c>
      <c r="J141" s="21">
        <v>0</v>
      </c>
      <c r="K141" s="116">
        <f>SUM(G141:J141)</f>
        <v>7.0000000000000007E-2</v>
      </c>
      <c r="L141" s="52">
        <v>0</v>
      </c>
      <c r="M141" s="61">
        <v>0.26</v>
      </c>
      <c r="N141" s="61">
        <v>0.26</v>
      </c>
      <c r="O141" s="21">
        <v>0.4</v>
      </c>
      <c r="P141" s="61">
        <v>0</v>
      </c>
      <c r="Q141" s="116">
        <f t="shared" si="37"/>
        <v>0.92</v>
      </c>
      <c r="R141" s="21">
        <v>0.01</v>
      </c>
      <c r="S141" s="21">
        <v>0</v>
      </c>
      <c r="T141" s="21">
        <v>0</v>
      </c>
      <c r="U141" s="121">
        <f>+SUM(K141,Q141:T141)</f>
        <v>1</v>
      </c>
    </row>
    <row r="142" spans="1:22" ht="14.7" outlineLevel="1" thickBot="1" x14ac:dyDescent="0.55000000000000004">
      <c r="B142" s="38" t="s">
        <v>55</v>
      </c>
      <c r="C142" s="16"/>
      <c r="D142" s="16"/>
      <c r="E142" s="15"/>
      <c r="F142" s="15"/>
      <c r="G142" s="63">
        <v>0</v>
      </c>
      <c r="H142" s="23">
        <v>1</v>
      </c>
      <c r="I142" s="23">
        <v>0</v>
      </c>
      <c r="J142" s="23">
        <v>0</v>
      </c>
      <c r="K142" s="118">
        <f>SUM(G142:J142)</f>
        <v>1</v>
      </c>
      <c r="L142" s="63">
        <v>0</v>
      </c>
      <c r="M142" s="23">
        <v>0</v>
      </c>
      <c r="N142" s="23">
        <v>0</v>
      </c>
      <c r="O142" s="23">
        <v>0</v>
      </c>
      <c r="P142" s="23">
        <v>0</v>
      </c>
      <c r="Q142" s="118">
        <f t="shared" si="37"/>
        <v>0</v>
      </c>
      <c r="R142" s="23">
        <v>0</v>
      </c>
      <c r="S142" s="23">
        <v>0</v>
      </c>
      <c r="T142" s="23">
        <v>0</v>
      </c>
      <c r="U142" s="122">
        <f>+SUM(K142,Q142:T142)</f>
        <v>1</v>
      </c>
    </row>
    <row r="143" spans="1:22" outlineLevel="1" x14ac:dyDescent="0.5"/>
    <row r="144" spans="1:22" ht="14.7" thickBot="1" x14ac:dyDescent="0.55000000000000004"/>
    <row r="145" spans="1:22" ht="14.7" thickBot="1" x14ac:dyDescent="0.55000000000000004">
      <c r="B145" s="124" t="s">
        <v>90</v>
      </c>
      <c r="C145" s="125"/>
      <c r="D145" s="125"/>
      <c r="E145" s="126"/>
      <c r="F145" s="126"/>
      <c r="G145" s="127"/>
      <c r="H145" s="128"/>
      <c r="I145" s="128"/>
      <c r="J145" s="128"/>
      <c r="K145" s="129"/>
      <c r="L145" s="127"/>
      <c r="M145" s="128"/>
      <c r="N145" s="128"/>
      <c r="O145" s="128"/>
      <c r="P145" s="128"/>
      <c r="Q145" s="129"/>
      <c r="R145" s="128"/>
      <c r="S145" s="128"/>
      <c r="T145" s="128"/>
      <c r="U145" s="130"/>
    </row>
    <row r="146" spans="1:22" s="9" customFormat="1" outlineLevel="1" x14ac:dyDescent="0.5">
      <c r="A146" s="1"/>
      <c r="B146" s="84" t="s">
        <v>21</v>
      </c>
      <c r="C146" s="77"/>
      <c r="D146" s="77"/>
      <c r="G146" s="50"/>
      <c r="H146" s="60"/>
      <c r="I146" s="60"/>
      <c r="J146" s="60"/>
      <c r="K146" s="115"/>
      <c r="L146" s="50"/>
      <c r="M146" s="60"/>
      <c r="N146" s="60"/>
      <c r="O146" s="20"/>
      <c r="P146" s="60"/>
      <c r="Q146" s="115"/>
      <c r="R146" s="20"/>
      <c r="S146" s="20"/>
      <c r="T146" s="20"/>
      <c r="U146" s="123"/>
      <c r="V146" s="1"/>
    </row>
    <row r="147" spans="1:22" outlineLevel="1" x14ac:dyDescent="0.5">
      <c r="B147" s="14" t="s">
        <v>59</v>
      </c>
      <c r="C147" s="1"/>
      <c r="D147" s="1"/>
      <c r="G147" s="52"/>
      <c r="H147" s="61"/>
      <c r="I147" s="61"/>
      <c r="J147" s="61"/>
      <c r="K147" s="116"/>
      <c r="L147" s="52"/>
      <c r="M147" s="61"/>
      <c r="N147" s="61"/>
      <c r="O147" s="21"/>
      <c r="P147" s="61"/>
      <c r="Q147" s="116"/>
      <c r="R147" s="21"/>
      <c r="S147" s="21"/>
      <c r="T147" s="21"/>
      <c r="U147" s="121"/>
    </row>
    <row r="148" spans="1:22" outlineLevel="1" x14ac:dyDescent="0.5">
      <c r="B148" s="14"/>
      <c r="C148" s="2" t="s">
        <v>52</v>
      </c>
      <c r="D148" s="1"/>
      <c r="G148" s="52">
        <v>0.3</v>
      </c>
      <c r="H148" s="61">
        <v>0.7</v>
      </c>
      <c r="I148" s="21">
        <v>0</v>
      </c>
      <c r="J148" s="21">
        <v>0</v>
      </c>
      <c r="K148" s="116">
        <f>SUM(G148:J148)</f>
        <v>1</v>
      </c>
      <c r="L148" s="52">
        <v>0</v>
      </c>
      <c r="M148" s="61">
        <v>0</v>
      </c>
      <c r="N148" s="61">
        <v>0</v>
      </c>
      <c r="O148" s="21">
        <v>0</v>
      </c>
      <c r="P148" s="61">
        <v>0</v>
      </c>
      <c r="Q148" s="116">
        <f>SUM(L148:P148)</f>
        <v>0</v>
      </c>
      <c r="R148" s="21">
        <v>0</v>
      </c>
      <c r="S148" s="21">
        <v>0</v>
      </c>
      <c r="T148" s="21">
        <v>0</v>
      </c>
      <c r="U148" s="121">
        <f>+SUM(K148,Q148:T148)</f>
        <v>1</v>
      </c>
    </row>
    <row r="149" spans="1:22" outlineLevel="1" x14ac:dyDescent="0.5">
      <c r="B149" s="85"/>
      <c r="C149" s="2" t="s">
        <v>58</v>
      </c>
      <c r="D149" s="1"/>
      <c r="G149" s="52">
        <v>1</v>
      </c>
      <c r="H149" s="61">
        <v>0</v>
      </c>
      <c r="I149" s="21">
        <v>0</v>
      </c>
      <c r="J149" s="21">
        <v>0</v>
      </c>
      <c r="K149" s="116">
        <f>SUM(G149:J149)</f>
        <v>1</v>
      </c>
      <c r="L149" s="52">
        <v>0</v>
      </c>
      <c r="M149" s="61">
        <v>0</v>
      </c>
      <c r="N149" s="61">
        <v>0</v>
      </c>
      <c r="O149" s="21">
        <v>0</v>
      </c>
      <c r="P149" s="61">
        <v>0</v>
      </c>
      <c r="Q149" s="116">
        <f t="shared" ref="Q149:Q151" si="38">SUM(L149:P149)</f>
        <v>0</v>
      </c>
      <c r="R149" s="21">
        <v>0</v>
      </c>
      <c r="S149" s="21">
        <v>0</v>
      </c>
      <c r="T149" s="21">
        <v>0</v>
      </c>
      <c r="U149" s="121">
        <f>+SUM(K149,Q149:T149)</f>
        <v>1</v>
      </c>
    </row>
    <row r="150" spans="1:22" outlineLevel="1" x14ac:dyDescent="0.5">
      <c r="B150" s="14" t="s">
        <v>5</v>
      </c>
      <c r="C150" s="1"/>
      <c r="D150" s="1"/>
      <c r="E150" s="2"/>
      <c r="F150" s="2"/>
      <c r="G150" s="52">
        <v>0.25</v>
      </c>
      <c r="H150" s="61">
        <v>0.25</v>
      </c>
      <c r="I150" s="21">
        <v>0.125</v>
      </c>
      <c r="J150" s="21">
        <v>0.125</v>
      </c>
      <c r="K150" s="116">
        <f>SUM(G150:J150)</f>
        <v>0.75</v>
      </c>
      <c r="L150" s="52">
        <v>4.1666666669999998E-2</v>
      </c>
      <c r="M150" s="61">
        <v>4.1666666669999998E-2</v>
      </c>
      <c r="N150" s="61">
        <v>4.1666666669999998E-2</v>
      </c>
      <c r="O150" s="21">
        <v>0</v>
      </c>
      <c r="P150" s="61">
        <v>0</v>
      </c>
      <c r="Q150" s="116">
        <f t="shared" si="38"/>
        <v>0.12500000001</v>
      </c>
      <c r="R150" s="21">
        <v>0.125</v>
      </c>
      <c r="S150" s="21">
        <v>0</v>
      </c>
      <c r="T150" s="21">
        <v>0</v>
      </c>
      <c r="U150" s="121">
        <f>+SUM(K150,Q150:T150)</f>
        <v>1.00000000001</v>
      </c>
    </row>
    <row r="151" spans="1:22" outlineLevel="1" x14ac:dyDescent="0.5">
      <c r="B151" s="14" t="s">
        <v>6</v>
      </c>
      <c r="C151" s="1"/>
      <c r="D151" s="1"/>
      <c r="G151" s="52">
        <v>0.06</v>
      </c>
      <c r="H151" s="61">
        <v>0</v>
      </c>
      <c r="I151" s="21">
        <v>0.61</v>
      </c>
      <c r="J151" s="21">
        <v>0.01</v>
      </c>
      <c r="K151" s="116">
        <f>SUM(G151:J151)</f>
        <v>0.67999999999999994</v>
      </c>
      <c r="L151" s="52">
        <v>0</v>
      </c>
      <c r="M151" s="61">
        <v>0.28999999999999998</v>
      </c>
      <c r="N151" s="61">
        <v>0</v>
      </c>
      <c r="O151" s="21">
        <v>0</v>
      </c>
      <c r="P151" s="61">
        <v>0</v>
      </c>
      <c r="Q151" s="116">
        <f t="shared" si="38"/>
        <v>0.28999999999999998</v>
      </c>
      <c r="R151" s="21">
        <v>0</v>
      </c>
      <c r="S151" s="21">
        <v>0.03</v>
      </c>
      <c r="T151" s="21">
        <v>0</v>
      </c>
      <c r="U151" s="121">
        <f>+SUM(K151,Q151:T151)</f>
        <v>1</v>
      </c>
    </row>
    <row r="152" spans="1:22" ht="7.1" customHeight="1" outlineLevel="1" x14ac:dyDescent="0.5">
      <c r="B152" s="85"/>
      <c r="C152" s="1"/>
      <c r="D152" s="1"/>
      <c r="G152" s="52"/>
      <c r="H152" s="61"/>
      <c r="I152" s="21"/>
      <c r="J152" s="21"/>
      <c r="K152" s="116"/>
      <c r="L152" s="52"/>
      <c r="M152" s="61"/>
      <c r="N152" s="61"/>
      <c r="O152" s="21"/>
      <c r="P152" s="61"/>
      <c r="Q152" s="116"/>
      <c r="R152" s="21"/>
      <c r="S152" s="21"/>
      <c r="T152" s="21"/>
      <c r="U152" s="121"/>
    </row>
    <row r="153" spans="1:22" s="9" customFormat="1" outlineLevel="1" x14ac:dyDescent="0.5">
      <c r="A153" s="1"/>
      <c r="B153" s="86" t="s">
        <v>22</v>
      </c>
      <c r="G153" s="51"/>
      <c r="H153" s="62"/>
      <c r="I153" s="22"/>
      <c r="J153" s="22"/>
      <c r="K153" s="117"/>
      <c r="L153" s="51"/>
      <c r="M153" s="62"/>
      <c r="N153" s="62"/>
      <c r="O153" s="22"/>
      <c r="P153" s="62"/>
      <c r="Q153" s="117"/>
      <c r="R153" s="22"/>
      <c r="S153" s="22"/>
      <c r="T153" s="22"/>
      <c r="U153" s="71"/>
      <c r="V153" s="1"/>
    </row>
    <row r="154" spans="1:22" outlineLevel="1" x14ac:dyDescent="0.5">
      <c r="B154" s="14" t="s">
        <v>53</v>
      </c>
      <c r="C154" s="1"/>
      <c r="D154" s="1"/>
      <c r="G154" s="52"/>
      <c r="H154" s="61"/>
      <c r="I154" s="21"/>
      <c r="J154" s="21"/>
      <c r="K154" s="116"/>
      <c r="L154" s="52"/>
      <c r="M154" s="61"/>
      <c r="N154" s="61"/>
      <c r="O154" s="21"/>
      <c r="P154" s="61"/>
      <c r="Q154" s="116">
        <f t="shared" ref="Q154:Q158" si="39">SUM(L154:P154)</f>
        <v>0</v>
      </c>
      <c r="R154" s="21"/>
      <c r="S154" s="21"/>
      <c r="T154" s="21"/>
      <c r="U154" s="121"/>
    </row>
    <row r="155" spans="1:22" outlineLevel="1" x14ac:dyDescent="0.5">
      <c r="B155" s="14"/>
      <c r="C155" s="2" t="s">
        <v>47</v>
      </c>
      <c r="D155" s="1"/>
      <c r="G155" s="52">
        <v>0</v>
      </c>
      <c r="H155" s="61">
        <v>0</v>
      </c>
      <c r="I155" s="21">
        <v>0</v>
      </c>
      <c r="J155" s="21">
        <v>0</v>
      </c>
      <c r="K155" s="116">
        <f>SUM(G155:J155)</f>
        <v>0</v>
      </c>
      <c r="L155" s="52">
        <v>0</v>
      </c>
      <c r="M155" s="61">
        <v>0</v>
      </c>
      <c r="N155" s="61">
        <v>0.93</v>
      </c>
      <c r="O155" s="21">
        <v>0</v>
      </c>
      <c r="P155" s="61">
        <v>0</v>
      </c>
      <c r="Q155" s="116">
        <f t="shared" si="39"/>
        <v>0.93</v>
      </c>
      <c r="R155" s="21">
        <v>7.0000000000000007E-2</v>
      </c>
      <c r="S155" s="21">
        <v>0</v>
      </c>
      <c r="T155" s="21">
        <v>0</v>
      </c>
      <c r="U155" s="121">
        <f>+SUM(K155,Q155:T155)</f>
        <v>1</v>
      </c>
    </row>
    <row r="156" spans="1:22" outlineLevel="1" x14ac:dyDescent="0.5">
      <c r="B156" s="85"/>
      <c r="C156" s="2" t="s">
        <v>48</v>
      </c>
      <c r="D156" s="1"/>
      <c r="E156" s="2"/>
      <c r="F156" s="2"/>
      <c r="G156" s="52">
        <v>0</v>
      </c>
      <c r="H156" s="61">
        <v>0</v>
      </c>
      <c r="I156" s="21">
        <v>0</v>
      </c>
      <c r="J156" s="21">
        <v>0</v>
      </c>
      <c r="K156" s="116">
        <f>SUM(G156:J156)</f>
        <v>0</v>
      </c>
      <c r="L156" s="52">
        <v>0.93</v>
      </c>
      <c r="M156" s="61">
        <v>0</v>
      </c>
      <c r="N156" s="61">
        <v>0</v>
      </c>
      <c r="O156" s="21">
        <v>0</v>
      </c>
      <c r="P156" s="61">
        <v>0</v>
      </c>
      <c r="Q156" s="116">
        <f t="shared" si="39"/>
        <v>0.93</v>
      </c>
      <c r="R156" s="21">
        <v>7.0000000000000007E-2</v>
      </c>
      <c r="S156" s="21">
        <v>0</v>
      </c>
      <c r="T156" s="21">
        <v>0</v>
      </c>
      <c r="U156" s="121">
        <f>+SUM(K156,Q156:T156)</f>
        <v>1</v>
      </c>
    </row>
    <row r="157" spans="1:22" outlineLevel="1" x14ac:dyDescent="0.5">
      <c r="B157" s="14" t="s">
        <v>46</v>
      </c>
      <c r="C157" s="2"/>
      <c r="D157" s="1"/>
      <c r="E157" s="2"/>
      <c r="F157" s="2"/>
      <c r="G157" s="52">
        <v>0</v>
      </c>
      <c r="H157" s="61">
        <v>0</v>
      </c>
      <c r="I157" s="21">
        <v>0</v>
      </c>
      <c r="J157" s="21">
        <v>0</v>
      </c>
      <c r="K157" s="116">
        <f>SUM(G157:J157)</f>
        <v>0</v>
      </c>
      <c r="L157" s="52">
        <v>0.93</v>
      </c>
      <c r="M157" s="61">
        <v>0</v>
      </c>
      <c r="N157" s="61">
        <v>0</v>
      </c>
      <c r="O157" s="21">
        <v>0</v>
      </c>
      <c r="P157" s="61">
        <v>0</v>
      </c>
      <c r="Q157" s="116">
        <f t="shared" si="39"/>
        <v>0.93</v>
      </c>
      <c r="R157" s="21">
        <v>7.0000000000000007E-2</v>
      </c>
      <c r="S157" s="21">
        <v>0</v>
      </c>
      <c r="T157" s="21">
        <v>0</v>
      </c>
      <c r="U157" s="121">
        <f>+SUM(K157,Q157:T157)</f>
        <v>1</v>
      </c>
    </row>
    <row r="158" spans="1:22" outlineLevel="1" x14ac:dyDescent="0.5">
      <c r="B158" s="14" t="s">
        <v>8</v>
      </c>
      <c r="C158" s="1"/>
      <c r="D158" s="1"/>
      <c r="E158" s="2"/>
      <c r="F158" s="2"/>
      <c r="G158" s="52">
        <v>0</v>
      </c>
      <c r="H158" s="61">
        <v>0</v>
      </c>
      <c r="I158" s="21">
        <v>0.01</v>
      </c>
      <c r="J158" s="21">
        <v>0</v>
      </c>
      <c r="K158" s="116">
        <f>SUM(G158:J158)</f>
        <v>0.01</v>
      </c>
      <c r="L158" s="52">
        <v>0.255</v>
      </c>
      <c r="M158" s="61">
        <v>0.7</v>
      </c>
      <c r="N158" s="61">
        <v>2.5000000000000001E-2</v>
      </c>
      <c r="O158" s="21">
        <v>0</v>
      </c>
      <c r="P158" s="61">
        <v>0</v>
      </c>
      <c r="Q158" s="116">
        <f t="shared" si="39"/>
        <v>0.98</v>
      </c>
      <c r="R158" s="21">
        <v>0.01</v>
      </c>
      <c r="S158" s="21">
        <v>0</v>
      </c>
      <c r="T158" s="21">
        <v>0</v>
      </c>
      <c r="U158" s="121">
        <f>+SUM(K158,Q158:T158)</f>
        <v>1</v>
      </c>
    </row>
    <row r="159" spans="1:22" ht="7.1" customHeight="1" outlineLevel="1" x14ac:dyDescent="0.5">
      <c r="B159" s="85"/>
      <c r="C159" s="1"/>
      <c r="D159" s="1"/>
      <c r="E159" s="2"/>
      <c r="F159" s="2"/>
      <c r="G159" s="52"/>
      <c r="H159" s="61"/>
      <c r="I159" s="21"/>
      <c r="J159" s="21"/>
      <c r="K159" s="116"/>
      <c r="L159" s="52"/>
      <c r="M159" s="61"/>
      <c r="N159" s="61"/>
      <c r="O159" s="21"/>
      <c r="P159" s="61"/>
      <c r="Q159" s="116"/>
      <c r="R159" s="21"/>
      <c r="S159" s="21"/>
      <c r="T159" s="21"/>
      <c r="U159" s="121"/>
    </row>
    <row r="160" spans="1:22" s="9" customFormat="1" outlineLevel="1" x14ac:dyDescent="0.5">
      <c r="A160" s="1"/>
      <c r="B160" s="84" t="s">
        <v>23</v>
      </c>
      <c r="G160" s="51"/>
      <c r="H160" s="62"/>
      <c r="I160" s="22"/>
      <c r="J160" s="22"/>
      <c r="K160" s="117"/>
      <c r="L160" s="51"/>
      <c r="M160" s="62"/>
      <c r="N160" s="62"/>
      <c r="O160" s="22"/>
      <c r="P160" s="62"/>
      <c r="Q160" s="117"/>
      <c r="R160" s="22"/>
      <c r="S160" s="22"/>
      <c r="T160" s="22"/>
      <c r="U160" s="71"/>
      <c r="V160" s="1"/>
    </row>
    <row r="161" spans="1:22" outlineLevel="1" x14ac:dyDescent="0.5">
      <c r="B161" s="14" t="s">
        <v>54</v>
      </c>
      <c r="C161" s="1"/>
      <c r="D161" s="1"/>
      <c r="E161" s="2"/>
      <c r="F161" s="2"/>
      <c r="G161" s="52">
        <v>0</v>
      </c>
      <c r="H161" s="61">
        <v>0.5</v>
      </c>
      <c r="I161" s="21">
        <v>0</v>
      </c>
      <c r="J161" s="21">
        <v>0</v>
      </c>
      <c r="K161" s="116">
        <f>SUM(G161:J161)</f>
        <v>0.5</v>
      </c>
      <c r="L161" s="52">
        <v>0</v>
      </c>
      <c r="M161" s="61">
        <v>0</v>
      </c>
      <c r="N161" s="61">
        <v>0</v>
      </c>
      <c r="O161" s="21">
        <v>0</v>
      </c>
      <c r="P161" s="61">
        <v>0.5</v>
      </c>
      <c r="Q161" s="116">
        <f>SUM(L161:P161)</f>
        <v>0.5</v>
      </c>
      <c r="R161" s="21">
        <v>0</v>
      </c>
      <c r="S161" s="21">
        <v>0</v>
      </c>
      <c r="T161" s="21">
        <v>0</v>
      </c>
      <c r="U161" s="121">
        <f>+SUM(K161,Q161:T161)</f>
        <v>1</v>
      </c>
    </row>
    <row r="162" spans="1:22" outlineLevel="1" x14ac:dyDescent="0.5">
      <c r="B162" s="14" t="s">
        <v>9</v>
      </c>
      <c r="C162" s="1"/>
      <c r="D162" s="1"/>
      <c r="E162" s="2"/>
      <c r="F162" s="2"/>
      <c r="G162" s="52">
        <v>1</v>
      </c>
      <c r="H162" s="61">
        <v>0</v>
      </c>
      <c r="I162" s="21">
        <v>0</v>
      </c>
      <c r="J162" s="21">
        <v>0</v>
      </c>
      <c r="K162" s="116">
        <f>SUM(G162:J162)</f>
        <v>1</v>
      </c>
      <c r="L162" s="52">
        <v>0</v>
      </c>
      <c r="M162" s="61">
        <v>0</v>
      </c>
      <c r="N162" s="61">
        <v>0</v>
      </c>
      <c r="O162" s="21">
        <v>0</v>
      </c>
      <c r="P162" s="61">
        <v>0</v>
      </c>
      <c r="Q162" s="116">
        <f>SUM(L162:P162)</f>
        <v>0</v>
      </c>
      <c r="R162" s="21">
        <v>0</v>
      </c>
      <c r="S162" s="21">
        <v>0</v>
      </c>
      <c r="T162" s="21">
        <v>0</v>
      </c>
      <c r="U162" s="121">
        <f>+SUM(K162,Q162:T162)</f>
        <v>1</v>
      </c>
    </row>
    <row r="163" spans="1:22" ht="7.1" customHeight="1" outlineLevel="1" x14ac:dyDescent="0.5">
      <c r="B163" s="85"/>
      <c r="C163" s="1"/>
      <c r="D163" s="1"/>
      <c r="G163" s="52"/>
      <c r="H163" s="61"/>
      <c r="I163" s="21"/>
      <c r="J163" s="21"/>
      <c r="K163" s="116"/>
      <c r="L163" s="52"/>
      <c r="M163" s="61"/>
      <c r="N163" s="61"/>
      <c r="O163" s="21"/>
      <c r="P163" s="61"/>
      <c r="Q163" s="116"/>
      <c r="R163" s="21"/>
      <c r="S163" s="21"/>
      <c r="T163" s="21"/>
      <c r="U163" s="121"/>
    </row>
    <row r="164" spans="1:22" s="9" customFormat="1" outlineLevel="1" x14ac:dyDescent="0.5">
      <c r="A164" s="1"/>
      <c r="B164" s="84" t="s">
        <v>10</v>
      </c>
      <c r="G164" s="51"/>
      <c r="H164" s="62"/>
      <c r="I164" s="22"/>
      <c r="J164" s="22"/>
      <c r="K164" s="117"/>
      <c r="L164" s="51"/>
      <c r="M164" s="62"/>
      <c r="N164" s="62"/>
      <c r="O164" s="22"/>
      <c r="P164" s="62"/>
      <c r="Q164" s="117"/>
      <c r="R164" s="22"/>
      <c r="S164" s="22"/>
      <c r="T164" s="22"/>
      <c r="U164" s="71"/>
      <c r="V164" s="1"/>
    </row>
    <row r="165" spans="1:22" outlineLevel="1" x14ac:dyDescent="0.5">
      <c r="B165" s="14" t="s">
        <v>49</v>
      </c>
      <c r="D165" s="1"/>
      <c r="G165" s="52">
        <v>1</v>
      </c>
      <c r="H165" s="61">
        <v>0</v>
      </c>
      <c r="I165" s="21">
        <v>0</v>
      </c>
      <c r="J165" s="21">
        <v>0</v>
      </c>
      <c r="K165" s="116">
        <f>SUM(G165:J165)</f>
        <v>1</v>
      </c>
      <c r="L165" s="52">
        <v>0</v>
      </c>
      <c r="M165" s="61">
        <v>0</v>
      </c>
      <c r="N165" s="61">
        <v>0</v>
      </c>
      <c r="O165" s="21">
        <v>0</v>
      </c>
      <c r="P165" s="61">
        <v>0</v>
      </c>
      <c r="Q165" s="116">
        <f t="shared" ref="Q165:Q166" si="40">SUM(L165:P165)</f>
        <v>0</v>
      </c>
      <c r="R165" s="21">
        <v>0</v>
      </c>
      <c r="S165" s="21">
        <v>0</v>
      </c>
      <c r="T165" s="21">
        <v>0</v>
      </c>
      <c r="U165" s="121">
        <f>+SUM(K165,Q165:T165)</f>
        <v>1</v>
      </c>
    </row>
    <row r="166" spans="1:22" outlineLevel="1" x14ac:dyDescent="0.5">
      <c r="B166" s="14" t="s">
        <v>50</v>
      </c>
      <c r="D166" s="1"/>
      <c r="G166" s="52">
        <v>0.5</v>
      </c>
      <c r="H166" s="61">
        <v>0</v>
      </c>
      <c r="I166" s="21">
        <v>0</v>
      </c>
      <c r="J166" s="21">
        <v>0</v>
      </c>
      <c r="K166" s="116">
        <f>SUM(G166:J166)</f>
        <v>0.5</v>
      </c>
      <c r="L166" s="52">
        <v>0.23</v>
      </c>
      <c r="M166" s="61">
        <v>0.23</v>
      </c>
      <c r="N166" s="61">
        <v>5.0000000000000001E-3</v>
      </c>
      <c r="O166" s="21">
        <v>0</v>
      </c>
      <c r="P166" s="61">
        <v>0</v>
      </c>
      <c r="Q166" s="116">
        <f t="shared" si="40"/>
        <v>0.46500000000000002</v>
      </c>
      <c r="R166" s="21">
        <v>3.5000000000000003E-2</v>
      </c>
      <c r="S166" s="21">
        <v>0</v>
      </c>
      <c r="T166" s="21">
        <v>0</v>
      </c>
      <c r="U166" s="121">
        <f>+SUM(K166,Q166:T166)</f>
        <v>1</v>
      </c>
    </row>
    <row r="167" spans="1:22" ht="7.1" customHeight="1" outlineLevel="1" x14ac:dyDescent="0.5">
      <c r="B167" s="85"/>
      <c r="C167" s="1"/>
      <c r="D167" s="1"/>
      <c r="G167" s="52"/>
      <c r="H167" s="61"/>
      <c r="I167" s="21"/>
      <c r="J167" s="21"/>
      <c r="K167" s="116"/>
      <c r="L167" s="52"/>
      <c r="M167" s="61"/>
      <c r="N167" s="61"/>
      <c r="O167" s="21"/>
      <c r="P167" s="61"/>
      <c r="Q167" s="116"/>
      <c r="R167" s="21"/>
      <c r="S167" s="21"/>
      <c r="T167" s="21"/>
      <c r="U167" s="121"/>
    </row>
    <row r="168" spans="1:22" s="9" customFormat="1" outlineLevel="1" x14ac:dyDescent="0.5">
      <c r="A168" s="1"/>
      <c r="B168" s="84" t="s">
        <v>24</v>
      </c>
      <c r="G168" s="51"/>
      <c r="H168" s="62"/>
      <c r="I168" s="22"/>
      <c r="J168" s="22"/>
      <c r="K168" s="117"/>
      <c r="L168" s="51"/>
      <c r="M168" s="62"/>
      <c r="N168" s="62"/>
      <c r="O168" s="22"/>
      <c r="P168" s="62"/>
      <c r="Q168" s="117"/>
      <c r="R168" s="22"/>
      <c r="S168" s="22"/>
      <c r="T168" s="22"/>
      <c r="U168" s="71"/>
      <c r="V168" s="1"/>
    </row>
    <row r="169" spans="1:22" outlineLevel="1" x14ac:dyDescent="0.5">
      <c r="B169" s="14" t="s">
        <v>12</v>
      </c>
      <c r="C169" s="1"/>
      <c r="D169" s="1"/>
      <c r="G169" s="52"/>
      <c r="H169" s="61"/>
      <c r="I169" s="21"/>
      <c r="J169" s="21"/>
      <c r="K169" s="116"/>
      <c r="L169" s="52"/>
      <c r="M169" s="61"/>
      <c r="N169" s="61"/>
      <c r="O169" s="21"/>
      <c r="P169" s="61"/>
      <c r="Q169" s="116"/>
      <c r="R169" s="21"/>
      <c r="S169" s="21"/>
      <c r="T169" s="21"/>
      <c r="U169" s="121"/>
    </row>
    <row r="170" spans="1:22" outlineLevel="1" x14ac:dyDescent="0.5">
      <c r="B170" s="85"/>
      <c r="C170" s="2" t="s">
        <v>13</v>
      </c>
      <c r="D170" s="2"/>
      <c r="E170" s="2"/>
      <c r="F170" s="2"/>
      <c r="G170" s="52">
        <v>0.5</v>
      </c>
      <c r="H170" s="61">
        <v>0</v>
      </c>
      <c r="I170" s="21">
        <v>0.25</v>
      </c>
      <c r="J170" s="21">
        <v>0.25</v>
      </c>
      <c r="K170" s="116">
        <f>SUM(G170:J170)</f>
        <v>1</v>
      </c>
      <c r="L170" s="61">
        <v>0</v>
      </c>
      <c r="M170" s="61">
        <v>0</v>
      </c>
      <c r="N170" s="61">
        <v>0</v>
      </c>
      <c r="O170" s="21">
        <v>0</v>
      </c>
      <c r="P170" s="61">
        <v>0</v>
      </c>
      <c r="Q170" s="116">
        <f>SUM(L170:P170)</f>
        <v>0</v>
      </c>
      <c r="R170" s="21">
        <v>0</v>
      </c>
      <c r="S170" s="21">
        <v>0</v>
      </c>
      <c r="T170" s="21">
        <v>0</v>
      </c>
      <c r="U170" s="121">
        <f>+SUM(K170,Q170:T170)</f>
        <v>1</v>
      </c>
    </row>
    <row r="171" spans="1:22" outlineLevel="1" x14ac:dyDescent="0.5">
      <c r="B171" s="13" t="s">
        <v>14</v>
      </c>
      <c r="C171" s="1"/>
      <c r="D171" s="1"/>
      <c r="G171" s="52"/>
      <c r="H171" s="61"/>
      <c r="I171" s="21"/>
      <c r="J171" s="21"/>
      <c r="K171" s="116"/>
      <c r="L171" s="52"/>
      <c r="M171" s="61"/>
      <c r="N171" s="61"/>
      <c r="O171" s="21"/>
      <c r="P171" s="61"/>
      <c r="Q171" s="116"/>
      <c r="R171" s="21"/>
      <c r="S171" s="21"/>
      <c r="T171" s="21"/>
      <c r="U171" s="121"/>
    </row>
    <row r="172" spans="1:22" outlineLevel="1" x14ac:dyDescent="0.5">
      <c r="B172" s="13"/>
      <c r="C172" s="2" t="s">
        <v>15</v>
      </c>
      <c r="D172" s="1"/>
      <c r="G172" s="52">
        <v>0</v>
      </c>
      <c r="H172" s="61">
        <v>0</v>
      </c>
      <c r="I172" s="21">
        <v>0</v>
      </c>
      <c r="J172" s="21">
        <v>0</v>
      </c>
      <c r="K172" s="116">
        <f>SUM(G172:J172)</f>
        <v>0</v>
      </c>
      <c r="L172" s="61">
        <v>0</v>
      </c>
      <c r="M172" s="61">
        <v>0.46500000000000002</v>
      </c>
      <c r="N172" s="61">
        <v>0.46500000000000002</v>
      </c>
      <c r="O172" s="21">
        <v>0</v>
      </c>
      <c r="P172" s="61">
        <v>0</v>
      </c>
      <c r="Q172" s="116">
        <f t="shared" ref="Q172:Q175" si="41">SUM(L172:P172)</f>
        <v>0.93</v>
      </c>
      <c r="R172" s="21">
        <v>7.0000000000000007E-2</v>
      </c>
      <c r="S172" s="21">
        <v>0</v>
      </c>
      <c r="T172" s="21">
        <v>0</v>
      </c>
      <c r="U172" s="121">
        <f>+SUM(K172,Q172:T172)</f>
        <v>1</v>
      </c>
    </row>
    <row r="173" spans="1:22" outlineLevel="1" x14ac:dyDescent="0.5">
      <c r="B173" s="13"/>
      <c r="C173" s="2" t="s">
        <v>16</v>
      </c>
      <c r="D173" s="1"/>
      <c r="G173" s="194">
        <v>3.5000000000000003E-2</v>
      </c>
      <c r="H173" s="61">
        <v>3.5000000000000003E-2</v>
      </c>
      <c r="I173" s="21">
        <v>0</v>
      </c>
      <c r="J173" s="21">
        <v>0</v>
      </c>
      <c r="K173" s="116">
        <f>SUM(G173:J173)</f>
        <v>7.0000000000000007E-2</v>
      </c>
      <c r="L173" s="61">
        <v>0</v>
      </c>
      <c r="M173" s="61">
        <v>0.69</v>
      </c>
      <c r="N173" s="61">
        <v>0</v>
      </c>
      <c r="O173" s="21">
        <v>0</v>
      </c>
      <c r="P173" s="61">
        <v>0</v>
      </c>
      <c r="Q173" s="116">
        <f t="shared" si="41"/>
        <v>0.69</v>
      </c>
      <c r="R173" s="21">
        <v>0.24</v>
      </c>
      <c r="S173" s="21">
        <v>0</v>
      </c>
      <c r="T173" s="21">
        <v>0</v>
      </c>
      <c r="U173" s="121">
        <f>+SUM(K173,Q173:T173)</f>
        <v>1</v>
      </c>
    </row>
    <row r="174" spans="1:22" outlineLevel="1" x14ac:dyDescent="0.5">
      <c r="B174" s="13"/>
      <c r="C174" s="2" t="s">
        <v>17</v>
      </c>
      <c r="D174" s="1"/>
      <c r="G174" s="52">
        <v>0</v>
      </c>
      <c r="H174" s="61">
        <v>0</v>
      </c>
      <c r="I174" s="21">
        <v>0</v>
      </c>
      <c r="J174" s="21">
        <v>0</v>
      </c>
      <c r="K174" s="116">
        <f>SUM(G174:J174)</f>
        <v>0</v>
      </c>
      <c r="L174" s="61">
        <v>0</v>
      </c>
      <c r="M174" s="61">
        <v>0.5</v>
      </c>
      <c r="N174" s="61">
        <v>0</v>
      </c>
      <c r="O174" s="21">
        <v>0</v>
      </c>
      <c r="P174" s="61">
        <v>0</v>
      </c>
      <c r="Q174" s="116">
        <f t="shared" si="41"/>
        <v>0.5</v>
      </c>
      <c r="R174" s="21">
        <v>0</v>
      </c>
      <c r="S174" s="21">
        <v>0</v>
      </c>
      <c r="T174" s="21">
        <v>0.5</v>
      </c>
      <c r="U174" s="121">
        <f>+SUM(K174,Q174:T174)</f>
        <v>1</v>
      </c>
    </row>
    <row r="175" spans="1:22" outlineLevel="1" x14ac:dyDescent="0.5">
      <c r="B175" s="85"/>
      <c r="C175" s="2" t="s">
        <v>18</v>
      </c>
      <c r="D175" s="1"/>
      <c r="G175" s="52">
        <v>0</v>
      </c>
      <c r="H175" s="61">
        <v>0</v>
      </c>
      <c r="I175" s="21">
        <v>0</v>
      </c>
      <c r="J175" s="21">
        <v>0</v>
      </c>
      <c r="K175" s="116">
        <f>SUM(G175:J175)</f>
        <v>0</v>
      </c>
      <c r="L175" s="61">
        <v>0</v>
      </c>
      <c r="M175" s="61">
        <v>0</v>
      </c>
      <c r="N175" s="61">
        <v>0</v>
      </c>
      <c r="O175" s="21">
        <v>0</v>
      </c>
      <c r="P175" s="61">
        <v>0</v>
      </c>
      <c r="Q175" s="116">
        <f t="shared" si="41"/>
        <v>0</v>
      </c>
      <c r="R175" s="21">
        <v>0</v>
      </c>
      <c r="S175" s="21">
        <v>0</v>
      </c>
      <c r="T175" s="21">
        <v>1</v>
      </c>
      <c r="U175" s="121">
        <f>+SUM(K175,Q175:T175)</f>
        <v>1</v>
      </c>
    </row>
    <row r="176" spans="1:22" ht="7.1" customHeight="1" outlineLevel="1" x14ac:dyDescent="0.5">
      <c r="B176" s="85"/>
      <c r="C176" s="1"/>
      <c r="D176" s="1"/>
      <c r="G176" s="52"/>
      <c r="H176" s="61"/>
      <c r="I176" s="21"/>
      <c r="J176" s="21"/>
      <c r="K176" s="116"/>
      <c r="L176" s="52"/>
      <c r="M176" s="61"/>
      <c r="N176" s="61"/>
      <c r="O176" s="21"/>
      <c r="P176" s="61"/>
      <c r="Q176" s="116"/>
      <c r="R176" s="21"/>
      <c r="S176" s="21"/>
      <c r="T176" s="21"/>
      <c r="U176" s="121"/>
    </row>
    <row r="177" spans="1:22" s="9" customFormat="1" outlineLevel="1" x14ac:dyDescent="0.5">
      <c r="A177" s="1"/>
      <c r="B177" s="86" t="s">
        <v>19</v>
      </c>
      <c r="E177" s="11"/>
      <c r="F177" s="11"/>
      <c r="G177" s="51"/>
      <c r="H177" s="62"/>
      <c r="I177" s="22"/>
      <c r="J177" s="22"/>
      <c r="K177" s="117"/>
      <c r="L177" s="51"/>
      <c r="M177" s="62"/>
      <c r="N177" s="62"/>
      <c r="O177" s="22"/>
      <c r="P177" s="62"/>
      <c r="Q177" s="117"/>
      <c r="R177" s="22"/>
      <c r="S177" s="22"/>
      <c r="T177" s="22"/>
      <c r="U177" s="71"/>
      <c r="V177" s="1"/>
    </row>
    <row r="178" spans="1:22" outlineLevel="1" x14ac:dyDescent="0.5">
      <c r="B178" s="14" t="s">
        <v>19</v>
      </c>
      <c r="C178" s="1"/>
      <c r="D178" s="1"/>
      <c r="E178" s="2"/>
      <c r="F178" s="2"/>
      <c r="G178" s="52">
        <v>0</v>
      </c>
      <c r="H178" s="61">
        <v>1</v>
      </c>
      <c r="I178" s="21">
        <v>0</v>
      </c>
      <c r="J178" s="21">
        <v>0</v>
      </c>
      <c r="K178" s="116">
        <f>SUM(G178:J178)</f>
        <v>1</v>
      </c>
      <c r="L178" s="61">
        <v>0</v>
      </c>
      <c r="M178" s="61">
        <v>0</v>
      </c>
      <c r="N178" s="61">
        <v>0</v>
      </c>
      <c r="O178" s="21">
        <v>0</v>
      </c>
      <c r="P178" s="61">
        <v>0</v>
      </c>
      <c r="Q178" s="116">
        <f>SUM(L178:P178)</f>
        <v>0</v>
      </c>
      <c r="R178" s="21">
        <v>0</v>
      </c>
      <c r="S178" s="21">
        <v>0</v>
      </c>
      <c r="T178" s="21">
        <v>0</v>
      </c>
      <c r="U178" s="121">
        <f>+SUM(K178,Q178:T178)</f>
        <v>1</v>
      </c>
    </row>
    <row r="179" spans="1:22" ht="7.1" customHeight="1" outlineLevel="1" x14ac:dyDescent="0.5">
      <c r="B179" s="14"/>
      <c r="C179" s="1"/>
      <c r="D179" s="1"/>
      <c r="E179" s="2"/>
      <c r="F179" s="2"/>
      <c r="G179" s="52"/>
      <c r="H179" s="61"/>
      <c r="I179" s="21"/>
      <c r="J179" s="21"/>
      <c r="K179" s="116"/>
      <c r="L179" s="52"/>
      <c r="M179" s="61"/>
      <c r="N179" s="61"/>
      <c r="O179" s="21"/>
      <c r="P179" s="61"/>
      <c r="Q179" s="116"/>
      <c r="R179" s="21"/>
      <c r="S179" s="21"/>
      <c r="T179" s="21"/>
      <c r="U179" s="121"/>
    </row>
    <row r="180" spans="1:22" s="9" customFormat="1" outlineLevel="1" x14ac:dyDescent="0.5">
      <c r="A180" s="1"/>
      <c r="B180" s="86" t="s">
        <v>25</v>
      </c>
      <c r="G180" s="51"/>
      <c r="H180" s="62"/>
      <c r="I180" s="22"/>
      <c r="J180" s="22"/>
      <c r="K180" s="117"/>
      <c r="L180" s="51"/>
      <c r="M180" s="62"/>
      <c r="N180" s="62"/>
      <c r="O180" s="22"/>
      <c r="P180" s="62"/>
      <c r="Q180" s="117"/>
      <c r="R180" s="22"/>
      <c r="S180" s="22"/>
      <c r="T180" s="22"/>
      <c r="U180" s="71"/>
      <c r="V180" s="1"/>
    </row>
    <row r="181" spans="1:22" outlineLevel="1" x14ac:dyDescent="0.5">
      <c r="B181" s="14" t="s">
        <v>25</v>
      </c>
      <c r="C181" s="1"/>
      <c r="D181" s="1"/>
      <c r="G181" s="52">
        <v>0.9</v>
      </c>
      <c r="H181" s="61">
        <v>0</v>
      </c>
      <c r="I181" s="21">
        <v>0</v>
      </c>
      <c r="J181" s="21">
        <v>0</v>
      </c>
      <c r="K181" s="116">
        <f>SUM(G181:J181)</f>
        <v>0.9</v>
      </c>
      <c r="L181" s="52">
        <v>0</v>
      </c>
      <c r="M181" s="61">
        <v>0</v>
      </c>
      <c r="N181" s="61">
        <v>0</v>
      </c>
      <c r="O181" s="21">
        <v>0</v>
      </c>
      <c r="P181" s="61">
        <v>0</v>
      </c>
      <c r="Q181" s="116">
        <f>SUM(L181:P181)</f>
        <v>0</v>
      </c>
      <c r="R181" s="21">
        <v>0</v>
      </c>
      <c r="S181" s="21">
        <v>0.1</v>
      </c>
      <c r="T181" s="21">
        <v>0</v>
      </c>
      <c r="U181" s="121">
        <f>+SUM(K181,Q181:T181)</f>
        <v>1</v>
      </c>
    </row>
    <row r="182" spans="1:22" ht="7.1" customHeight="1" outlineLevel="1" x14ac:dyDescent="0.5">
      <c r="B182" s="14"/>
      <c r="C182" s="1"/>
      <c r="D182" s="1"/>
      <c r="G182" s="52"/>
      <c r="H182" s="61"/>
      <c r="I182" s="21"/>
      <c r="J182" s="21"/>
      <c r="K182" s="116"/>
      <c r="L182" s="52"/>
      <c r="M182" s="61"/>
      <c r="N182" s="61"/>
      <c r="O182" s="21"/>
      <c r="P182" s="61"/>
      <c r="Q182" s="116"/>
      <c r="R182" s="21"/>
      <c r="S182" s="21"/>
      <c r="T182" s="21"/>
      <c r="U182" s="121"/>
    </row>
    <row r="183" spans="1:22" s="9" customFormat="1" outlineLevel="1" x14ac:dyDescent="0.5">
      <c r="A183" s="1"/>
      <c r="B183" s="86" t="s">
        <v>4</v>
      </c>
      <c r="G183" s="51"/>
      <c r="H183" s="62"/>
      <c r="I183" s="22"/>
      <c r="J183" s="22"/>
      <c r="K183" s="117"/>
      <c r="L183" s="51"/>
      <c r="M183" s="62"/>
      <c r="N183" s="62"/>
      <c r="O183" s="22"/>
      <c r="P183" s="62"/>
      <c r="Q183" s="117"/>
      <c r="R183" s="22"/>
      <c r="S183" s="22"/>
      <c r="T183" s="22"/>
      <c r="U183" s="71"/>
      <c r="V183" s="1"/>
    </row>
    <row r="184" spans="1:22" outlineLevel="1" x14ac:dyDescent="0.5">
      <c r="B184" s="14" t="s">
        <v>20</v>
      </c>
      <c r="C184" s="1"/>
      <c r="D184" s="1"/>
      <c r="E184" s="2"/>
      <c r="F184" s="2"/>
      <c r="G184" s="52">
        <v>0.97</v>
      </c>
      <c r="H184" s="61">
        <v>0.02</v>
      </c>
      <c r="I184" s="21">
        <v>0</v>
      </c>
      <c r="J184" s="21">
        <v>0.01</v>
      </c>
      <c r="K184" s="116">
        <f>SUM(G184:J184)</f>
        <v>1</v>
      </c>
      <c r="L184" s="52">
        <v>0</v>
      </c>
      <c r="M184" s="61">
        <v>0</v>
      </c>
      <c r="N184" s="61">
        <v>0</v>
      </c>
      <c r="O184" s="21">
        <v>0</v>
      </c>
      <c r="P184" s="61">
        <v>0</v>
      </c>
      <c r="Q184" s="116">
        <f t="shared" ref="Q184:Q186" si="42">SUM(L184:P184)</f>
        <v>0</v>
      </c>
      <c r="R184" s="21">
        <v>0</v>
      </c>
      <c r="S184" s="21">
        <v>0</v>
      </c>
      <c r="T184" s="21">
        <v>0</v>
      </c>
      <c r="U184" s="121">
        <f>+SUM(K184,Q184:T184)</f>
        <v>1</v>
      </c>
    </row>
    <row r="185" spans="1:22" outlineLevel="1" x14ac:dyDescent="0.5">
      <c r="B185" s="14" t="s">
        <v>11</v>
      </c>
      <c r="C185" s="1"/>
      <c r="D185" s="1"/>
      <c r="E185" s="2"/>
      <c r="F185" s="2"/>
      <c r="G185" s="52">
        <v>7.0000000000000007E-2</v>
      </c>
      <c r="H185" s="61">
        <v>0</v>
      </c>
      <c r="I185" s="21">
        <v>0</v>
      </c>
      <c r="J185" s="21">
        <v>0</v>
      </c>
      <c r="K185" s="116">
        <f>SUM(G185:J185)</f>
        <v>7.0000000000000007E-2</v>
      </c>
      <c r="L185" s="52">
        <v>0</v>
      </c>
      <c r="M185" s="61">
        <v>0.53500000000000003</v>
      </c>
      <c r="N185" s="61">
        <v>0.29499999999999998</v>
      </c>
      <c r="O185" s="21">
        <v>0</v>
      </c>
      <c r="P185" s="61">
        <v>0</v>
      </c>
      <c r="Q185" s="116">
        <f t="shared" si="42"/>
        <v>0.83000000000000007</v>
      </c>
      <c r="R185" s="21">
        <v>0.1</v>
      </c>
      <c r="S185" s="21">
        <v>0</v>
      </c>
      <c r="T185" s="21">
        <v>0</v>
      </c>
      <c r="U185" s="121">
        <f>+SUM(K185,Q185:T185)</f>
        <v>1.0000000000000002</v>
      </c>
    </row>
    <row r="186" spans="1:22" ht="14.7" outlineLevel="1" thickBot="1" x14ac:dyDescent="0.55000000000000004">
      <c r="B186" s="38" t="s">
        <v>55</v>
      </c>
      <c r="C186" s="16"/>
      <c r="D186" s="16"/>
      <c r="E186" s="15"/>
      <c r="F186" s="15"/>
      <c r="G186" s="63">
        <v>0</v>
      </c>
      <c r="H186" s="23">
        <v>1</v>
      </c>
      <c r="I186" s="23">
        <v>0</v>
      </c>
      <c r="J186" s="23">
        <v>0</v>
      </c>
      <c r="K186" s="118">
        <f>SUM(G186:J186)</f>
        <v>1</v>
      </c>
      <c r="L186" s="63">
        <v>0</v>
      </c>
      <c r="M186" s="23">
        <v>0</v>
      </c>
      <c r="N186" s="23">
        <v>0</v>
      </c>
      <c r="O186" s="23">
        <v>0</v>
      </c>
      <c r="P186" s="23">
        <v>0</v>
      </c>
      <c r="Q186" s="118">
        <f t="shared" si="42"/>
        <v>0</v>
      </c>
      <c r="R186" s="23">
        <v>0</v>
      </c>
      <c r="S186" s="23">
        <v>0</v>
      </c>
      <c r="T186" s="23">
        <v>0</v>
      </c>
      <c r="U186" s="122">
        <f>+SUM(K186,Q186:T186)</f>
        <v>1</v>
      </c>
    </row>
    <row r="187" spans="1:22" outlineLevel="1" x14ac:dyDescent="0.5"/>
  </sheetData>
  <mergeCells count="3">
    <mergeCell ref="L9:Q9"/>
    <mergeCell ref="R9:T9"/>
    <mergeCell ref="G9:K9"/>
  </mergeCells>
  <dataValidations count="1">
    <dataValidation type="list" allowBlank="1" showInputMessage="1" showErrorMessage="1" sqref="O5 L4" xr:uid="{00000000-0002-0000-0700-000000000000}">
      <formula1>"1,2,3"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Page</vt:lpstr>
      <vt:lpstr>Results &gt;&gt;&gt;</vt:lpstr>
      <vt:lpstr>National Results</vt:lpstr>
      <vt:lpstr>NYC Results</vt:lpstr>
      <vt:lpstr>Methods &amp; Assumptions</vt:lpstr>
      <vt:lpstr>Product Level Considerations</vt:lpstr>
      <vt:lpstr>User Inputs &gt;&gt;&gt;</vt:lpstr>
      <vt:lpstr>On or Off Premise</vt:lpstr>
      <vt:lpstr>Material %</vt:lpstr>
      <vt:lpstr>Recycling</vt:lpstr>
      <vt:lpstr>Composting</vt:lpstr>
      <vt:lpstr>Data &gt;&gt;&gt;</vt:lpstr>
      <vt:lpstr>Product Masses</vt:lpstr>
      <vt:lpstr>Units Sold</vt:lpstr>
      <vt:lpstr>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Scult</dc:creator>
  <cp:lastModifiedBy>Ellie Moss</cp:lastModifiedBy>
  <dcterms:created xsi:type="dcterms:W3CDTF">2019-03-25T16:15:53Z</dcterms:created>
  <dcterms:modified xsi:type="dcterms:W3CDTF">2020-02-20T06:01:25Z</dcterms:modified>
</cp:coreProperties>
</file>